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 codeName="{C5BBEA04-B48B-DB03-FC8F-E18A6752861A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olicy\Unit Files\Databases\CUSTOM and RENTAL RATE GUIDE\2022-23 Custom Rental Guide\"/>
    </mc:Choice>
  </mc:AlternateContent>
  <xr:revisionPtr revIDLastSave="0" documentId="13_ncr:1_{EC535A58-B35F-4252-A7FD-6D45648E3787}" xr6:coauthVersionLast="47" xr6:coauthVersionMax="47" xr10:uidLastSave="{00000000-0000-0000-0000-000000000000}"/>
  <bookViews>
    <workbookView xWindow="-120" yWindow="-120" windowWidth="29040" windowHeight="17640" tabRatio="857" activeTab="1" xr2:uid="{00000000-000D-0000-FFFF-FFFF00000000}"/>
  </bookViews>
  <sheets>
    <sheet name="Instructions" sheetId="106" r:id="rId1"/>
    <sheet name="Calculator" sheetId="105" r:id="rId2"/>
    <sheet name="NAMES" sheetId="103" state="hidden" r:id="rId3"/>
    <sheet name="DATA" sheetId="102" state="hidden" r:id="rId4"/>
  </sheets>
  <definedNames>
    <definedName name="Air_Disc_Drill">NAMES!$I$12:$I$13</definedName>
    <definedName name="Air_Drills_with_Independent_Opener">NAMES!$I$3:$I$5</definedName>
    <definedName name="Air_Hoe_Drill">NAMES!$I$8:$I$9</definedName>
    <definedName name="Air_Seeder">NAMES!$I$16:$I$18</definedName>
    <definedName name="Bale_Processor">NAMES!$M$27:$M$28</definedName>
    <definedName name="Baler_Large_Round">NAMES!$G$26:$G$30</definedName>
    <definedName name="Baler_Large_Square">NAMES!$G$33:$G$35</definedName>
    <definedName name="Baler_Small_Square">NAMES!$G$38:$G$39</definedName>
    <definedName name="Category">NAMES!$A$3:$A$10</definedName>
    <definedName name="Combine_Header">NAMES!$E$11:$E$26</definedName>
    <definedName name="Cultivator_Field_with_tine_harrows">NAMES!$K$3:$K$5</definedName>
    <definedName name="Cultivator_Heavy_Duty_with_tine_harrows">NAMES!$K$8:$K$10</definedName>
    <definedName name="Feed_Mixer">NAMES!$M$24</definedName>
    <definedName name="Field_efficiency">Calculator!$D$18</definedName>
    <definedName name="Four_Wheel_Drive">NAMES!$C$8:$C$10</definedName>
    <definedName name="Fraction_dep_over_optimal_life">DATA!$Z$2</definedName>
    <definedName name="Front_Wheel_Assist">NAMES!$C$13:$C$15</definedName>
    <definedName name="Fuel_Price">Calculator!$D$16</definedName>
    <definedName name="Grain_Cart">NAMES!$E$35:$E$37</definedName>
    <definedName name="Grain_Dryer">NAMES!$E$59:$E$64</definedName>
    <definedName name="Grain_Vac">NAMES!$E$55:$E$56</definedName>
    <definedName name="Grinder_Mixer">NAMES!$M$20:$M$21</definedName>
    <definedName name="Harrow_Heavy">NAMES!$K$16</definedName>
    <definedName name="Harrow_Mid">NAMES!$K$13</definedName>
    <definedName name="Harrow_Packer">NAMES!$K$19</definedName>
    <definedName name="Harvesting_Grain">NAMES!$A$19:$A$26</definedName>
    <definedName name="Harvesting_Hay">NAMES!$A$29:$A$38</definedName>
    <definedName name="Hay_Rakes">NAMES!$G$52:$G$54</definedName>
    <definedName name="High_Clearance_Sprayer">NAMES!$M$5:$M$7</definedName>
    <definedName name="Insurance_and_Housing">Calculator!$D$20</definedName>
    <definedName name="Interest_Rate">Calculator!$I$17</definedName>
    <definedName name="Labour">Calculator!$D$17</definedName>
    <definedName name="Land_Roller">NAMES!$K$30:$K$32</definedName>
    <definedName name="Land_Scraper">NAMES!$K$35:$K$39</definedName>
    <definedName name="Machinery_Financed_percentage">Calculator!$I$16</definedName>
    <definedName name="Manure_Spreader_solid">NAMES!$M$31:$M$39</definedName>
    <definedName name="Margin_percentage">Calculator!$D$19</definedName>
    <definedName name="Miscellaneous">NAMES!$A$62:$A$67</definedName>
    <definedName name="Opp_inv_period_years">Calculator!$I$20</definedName>
    <definedName name="Opportunity_Rate">Calculator!$I$18</definedName>
    <definedName name="Payback_loan_period_years">Calculator!$I$19</definedName>
    <definedName name="Post_Pounder">NAMES!$M$10:$M$12</definedName>
    <definedName name="Powered_Auger">NAMES!$E$40:$E$45</definedName>
    <definedName name="_xlnm.Print_Area" localSheetId="1">Calculator!$A$1:$O$91</definedName>
    <definedName name="_xlnm.Print_Area" localSheetId="0">Instructions!$A$1:$W$100</definedName>
    <definedName name="PTO_Grain_Auger">NAMES!$E$48:$E$52</definedName>
    <definedName name="Pull_Type_Bale_Mover_Self_load_unload">NAMES!$G$42:$G$46</definedName>
    <definedName name="Pull_Type_Mower_Conditioner">NAMES!$G$18:$G$23</definedName>
    <definedName name="Rotary_Combine">NAMES!$E$3:$E$8</definedName>
    <definedName name="Row_Crop_Planter">NAMES!$I$21:$I$25</definedName>
    <definedName name="Seeding">NAMES!$A$41:$A$45</definedName>
    <definedName name="Self_propelled_Bale_Mover">NAMES!$G$49</definedName>
    <definedName name="Self_propelled_Forage_Harvester">NAMES!$G$3:$G$5</definedName>
    <definedName name="Self_propelled_Mower_Conditioner">NAMES!$G$13:$G$15</definedName>
    <definedName name="Self_propelled_Swather">NAMES!$E$29:$E$32</definedName>
    <definedName name="Soil_Preparation">NAMES!$A$48:$A$56</definedName>
    <definedName name="SP_Forage_Harvester_Header">NAMES!$G$8:$G$10</definedName>
    <definedName name="Sprayers">NAMES!$A$59</definedName>
    <definedName name="Tracked">NAMES!$C$18:$C$22</definedName>
    <definedName name="Tractors">NAMES!$A$13:$A$16</definedName>
    <definedName name="Two_Wheel_Drive">NAMES!$C$3:$C$4</definedName>
    <definedName name="Vertical_Feed_Mixer">NAMES!$M$15:$M$17</definedName>
    <definedName name="Vertical_Tillage_Tools_Compact">NAMES!$K$22:$K$23</definedName>
    <definedName name="Vertical_Tillage_Tools_Heavy_Duty">NAMES!$K$26:$K$27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105" l="1"/>
  <c r="F47" i="105"/>
  <c r="F46" i="105"/>
  <c r="F49" i="105" s="1"/>
  <c r="F42" i="105"/>
  <c r="F41" i="105"/>
  <c r="F36" i="105"/>
  <c r="F35" i="105"/>
  <c r="F34" i="105"/>
  <c r="F37" i="105" s="1"/>
  <c r="AF49" i="102"/>
  <c r="AI45" i="102"/>
  <c r="AH49" i="102"/>
  <c r="AH46" i="102"/>
  <c r="AH45" i="102"/>
  <c r="AG50" i="102"/>
  <c r="AG49" i="102"/>
  <c r="AG48" i="102"/>
  <c r="AG47" i="102"/>
  <c r="AH47" i="102" s="1"/>
  <c r="AI47" i="102" s="1"/>
  <c r="AG46" i="102"/>
  <c r="AG45" i="102"/>
  <c r="AF45" i="102"/>
  <c r="AF46" i="102"/>
  <c r="AI46" i="102" s="1"/>
  <c r="AF47" i="102"/>
  <c r="AF48" i="102"/>
  <c r="AH48" i="102" s="1"/>
  <c r="AI48" i="102" s="1"/>
  <c r="AF50" i="102"/>
  <c r="I47" i="105"/>
  <c r="I46" i="105"/>
  <c r="I42" i="105"/>
  <c r="I41" i="105"/>
  <c r="I36" i="105"/>
  <c r="I35" i="105"/>
  <c r="I34" i="105"/>
  <c r="I37" i="105" s="1"/>
  <c r="AI49" i="102" l="1"/>
  <c r="AH50" i="102"/>
  <c r="AI50" i="102" s="1"/>
  <c r="I48" i="105"/>
  <c r="I49" i="105" s="1"/>
  <c r="AD73" i="102"/>
  <c r="AF37" i="102" l="1"/>
  <c r="L47" i="105" l="1"/>
  <c r="L46" i="105"/>
  <c r="L42" i="105"/>
  <c r="L41" i="105"/>
  <c r="L36" i="105"/>
  <c r="L35" i="105"/>
  <c r="L34" i="105"/>
  <c r="L37" i="105" s="1"/>
  <c r="L48" i="105" l="1"/>
  <c r="L49" i="105" s="1"/>
  <c r="G41" i="102"/>
  <c r="G42" i="102"/>
  <c r="G43" i="102"/>
  <c r="G44" i="102"/>
  <c r="G45" i="102"/>
  <c r="G50" i="102"/>
  <c r="A50" i="102"/>
  <c r="A45" i="102"/>
  <c r="A46" i="102"/>
  <c r="A47" i="102"/>
  <c r="A48" i="102"/>
  <c r="A49" i="102"/>
  <c r="A44" i="102"/>
  <c r="A92" i="102" l="1"/>
  <c r="A93" i="102"/>
  <c r="A94" i="102"/>
  <c r="A91" i="102"/>
  <c r="AG94" i="102" l="1"/>
  <c r="AH94" i="102" s="1"/>
  <c r="AG93" i="102"/>
  <c r="AH93" i="102" s="1"/>
  <c r="AI93" i="102" s="1"/>
  <c r="AG92" i="102"/>
  <c r="AH92" i="102" s="1"/>
  <c r="G92" i="102"/>
  <c r="G93" i="102"/>
  <c r="G94" i="102"/>
  <c r="AI92" i="102" l="1"/>
  <c r="AI94" i="102"/>
  <c r="Y47" i="105"/>
  <c r="Y46" i="105"/>
  <c r="V47" i="105"/>
  <c r="V46" i="105"/>
  <c r="S47" i="105"/>
  <c r="S46" i="105"/>
  <c r="Y42" i="105" l="1"/>
  <c r="V42" i="105"/>
  <c r="S42" i="105"/>
  <c r="Y41" i="105"/>
  <c r="V41" i="105"/>
  <c r="S41" i="105"/>
  <c r="Y36" i="105"/>
  <c r="V36" i="105"/>
  <c r="S36" i="105"/>
  <c r="Y35" i="105"/>
  <c r="V35" i="105"/>
  <c r="S35" i="105"/>
  <c r="Y34" i="105"/>
  <c r="V34" i="105"/>
  <c r="S34" i="105"/>
  <c r="S48" i="105" s="1"/>
  <c r="S49" i="105" s="1"/>
  <c r="Y28" i="105"/>
  <c r="V28" i="105"/>
  <c r="S28" i="105"/>
  <c r="Y37" i="105" l="1"/>
  <c r="Y38" i="105" s="1"/>
  <c r="Y48" i="105"/>
  <c r="Y49" i="105" s="1"/>
  <c r="Z49" i="105" s="1"/>
  <c r="V37" i="105"/>
  <c r="V38" i="105" s="1"/>
  <c r="V48" i="105"/>
  <c r="V49" i="105" s="1"/>
  <c r="W49" i="105" s="1"/>
  <c r="T49" i="105"/>
  <c r="Y43" i="105"/>
  <c r="S43" i="105"/>
  <c r="V43" i="105"/>
  <c r="S37" i="105"/>
  <c r="S38" i="105" s="1"/>
  <c r="AF138" i="102" l="1"/>
  <c r="AF137" i="102"/>
  <c r="AF136" i="102"/>
  <c r="AF135" i="102"/>
  <c r="AF134" i="102"/>
  <c r="AF133" i="102"/>
  <c r="AF132" i="102"/>
  <c r="AF131" i="102"/>
  <c r="AF130" i="102"/>
  <c r="AF129" i="102"/>
  <c r="AF128" i="102"/>
  <c r="AF127" i="102"/>
  <c r="AF126" i="102"/>
  <c r="AF125" i="102"/>
  <c r="AF124" i="102"/>
  <c r="AF123" i="102"/>
  <c r="AF122" i="102"/>
  <c r="AF121" i="102"/>
  <c r="AF120" i="102"/>
  <c r="AF119" i="102"/>
  <c r="AF118" i="102"/>
  <c r="AF117" i="102"/>
  <c r="AF116" i="102"/>
  <c r="AF115" i="102"/>
  <c r="AF114" i="102"/>
  <c r="AF113" i="102"/>
  <c r="AF112" i="102"/>
  <c r="AF111" i="102"/>
  <c r="AF110" i="102"/>
  <c r="AF109" i="102"/>
  <c r="AF108" i="102"/>
  <c r="AF107" i="102"/>
  <c r="AF106" i="102"/>
  <c r="AF105" i="102"/>
  <c r="AF104" i="102"/>
  <c r="AF103" i="102"/>
  <c r="AF102" i="102"/>
  <c r="AF101" i="102"/>
  <c r="AF100" i="102"/>
  <c r="AF99" i="102"/>
  <c r="AF98" i="102"/>
  <c r="AF97" i="102"/>
  <c r="AF96" i="102"/>
  <c r="AF95" i="102"/>
  <c r="AF91" i="102"/>
  <c r="AF90" i="102"/>
  <c r="AF89" i="102"/>
  <c r="AF88" i="102"/>
  <c r="AF87" i="102"/>
  <c r="AF86" i="102"/>
  <c r="AF85" i="102"/>
  <c r="AF84" i="102"/>
  <c r="AF83" i="102"/>
  <c r="AF82" i="102"/>
  <c r="AF81" i="102"/>
  <c r="AF80" i="102"/>
  <c r="AF79" i="102"/>
  <c r="AF78" i="102"/>
  <c r="AF77" i="102"/>
  <c r="AF76" i="102"/>
  <c r="AF75" i="102"/>
  <c r="AF74" i="102"/>
  <c r="AF73" i="102"/>
  <c r="AF72" i="102"/>
  <c r="AF71" i="102"/>
  <c r="AF70" i="102"/>
  <c r="AF69" i="102"/>
  <c r="AF68" i="102"/>
  <c r="AF67" i="102"/>
  <c r="AF66" i="102"/>
  <c r="AF65" i="102"/>
  <c r="AF64" i="102"/>
  <c r="AF63" i="102"/>
  <c r="AF62" i="102"/>
  <c r="AF61" i="102"/>
  <c r="AF60" i="102"/>
  <c r="AF59" i="102"/>
  <c r="AF58" i="102"/>
  <c r="AF57" i="102"/>
  <c r="AF56" i="102"/>
  <c r="AF55" i="102"/>
  <c r="AF54" i="102"/>
  <c r="AF53" i="102"/>
  <c r="AF52" i="102"/>
  <c r="AF51" i="102"/>
  <c r="AF44" i="102"/>
  <c r="AF43" i="102"/>
  <c r="AF42" i="102"/>
  <c r="AF41" i="102"/>
  <c r="AF40" i="102"/>
  <c r="AF39" i="102"/>
  <c r="AF38" i="102"/>
  <c r="AF36" i="102"/>
  <c r="AF35" i="102"/>
  <c r="AF34" i="102"/>
  <c r="AF33" i="102"/>
  <c r="AF32" i="102"/>
  <c r="AF31" i="102"/>
  <c r="AF30" i="102"/>
  <c r="AF29" i="102"/>
  <c r="AF28" i="102"/>
  <c r="AF27" i="102"/>
  <c r="AF26" i="102"/>
  <c r="AF25" i="102"/>
  <c r="AF24" i="102"/>
  <c r="AF23" i="102"/>
  <c r="AF22" i="102"/>
  <c r="AF21" i="102"/>
  <c r="AF20" i="102"/>
  <c r="AF19" i="102"/>
  <c r="AF18" i="102"/>
  <c r="AF17" i="102"/>
  <c r="AF16" i="102"/>
  <c r="AF15" i="102"/>
  <c r="AF14" i="102"/>
  <c r="AF13" i="102"/>
  <c r="AF12" i="102"/>
  <c r="AF11" i="102"/>
  <c r="AF10" i="102"/>
  <c r="AF9" i="102"/>
  <c r="AF8" i="102"/>
  <c r="AF7" i="102"/>
  <c r="AF6" i="102"/>
  <c r="AF159" i="102"/>
  <c r="AF158" i="102"/>
  <c r="AF157" i="102"/>
  <c r="AF156" i="102"/>
  <c r="AF155" i="102"/>
  <c r="AF154" i="102"/>
  <c r="AF153" i="102"/>
  <c r="AF152" i="102"/>
  <c r="AF151" i="102"/>
  <c r="AF150" i="102"/>
  <c r="AF149" i="102"/>
  <c r="AF148" i="102"/>
  <c r="AF147" i="102"/>
  <c r="AF146" i="102"/>
  <c r="AF145" i="102"/>
  <c r="AF144" i="102"/>
  <c r="AF143" i="102"/>
  <c r="AF142" i="102"/>
  <c r="AF141" i="102"/>
  <c r="AF140" i="102"/>
  <c r="AF139" i="102"/>
  <c r="AD140" i="102" l="1"/>
  <c r="AD139" i="102"/>
  <c r="AD138" i="102"/>
  <c r="AD137" i="102"/>
  <c r="AD131" i="102"/>
  <c r="AD130" i="102"/>
  <c r="AD129" i="102"/>
  <c r="AD128" i="102"/>
  <c r="AD127" i="102"/>
  <c r="AD126" i="102"/>
  <c r="AD125" i="102"/>
  <c r="AD124" i="102"/>
  <c r="AD123" i="102"/>
  <c r="AD122" i="102"/>
  <c r="AD121" i="102"/>
  <c r="AD120" i="102"/>
  <c r="AD119" i="102"/>
  <c r="AD118" i="102"/>
  <c r="AD117" i="102"/>
  <c r="AD116" i="102"/>
  <c r="AD115" i="102"/>
  <c r="AD114" i="102"/>
  <c r="AD113" i="102"/>
  <c r="AD112" i="102"/>
  <c r="AD111" i="102"/>
  <c r="AD110" i="102"/>
  <c r="AD109" i="102"/>
  <c r="AD108" i="102"/>
  <c r="AD107" i="102"/>
  <c r="AD106" i="102"/>
  <c r="AD105" i="102"/>
  <c r="AD104" i="102"/>
  <c r="AD103" i="102"/>
  <c r="AD102" i="102"/>
  <c r="AD101" i="102"/>
  <c r="AD81" i="102"/>
  <c r="AD80" i="102"/>
  <c r="AD79" i="102"/>
  <c r="AD78" i="102"/>
  <c r="AD77" i="102"/>
  <c r="AD76" i="102"/>
  <c r="AD75" i="102"/>
  <c r="AD74" i="102"/>
  <c r="AD72" i="102"/>
  <c r="AD71" i="102"/>
  <c r="AD70" i="102"/>
  <c r="AD24" i="102"/>
  <c r="AD23" i="102"/>
  <c r="AD22" i="102"/>
  <c r="AD21" i="102"/>
  <c r="AD20" i="102"/>
  <c r="AD19" i="102"/>
  <c r="AD44" i="102"/>
  <c r="AD43" i="102"/>
  <c r="AD42" i="102"/>
  <c r="AD41" i="102"/>
  <c r="AG159" i="102" l="1"/>
  <c r="AG158" i="102"/>
  <c r="AG157" i="102"/>
  <c r="AH157" i="102" s="1"/>
  <c r="AG156" i="102"/>
  <c r="AG155" i="102"/>
  <c r="AG154" i="102"/>
  <c r="AH154" i="102" s="1"/>
  <c r="AG153" i="102"/>
  <c r="AG152" i="102"/>
  <c r="AG151" i="102"/>
  <c r="AG150" i="102"/>
  <c r="AG149" i="102"/>
  <c r="AG148" i="102"/>
  <c r="AG147" i="102"/>
  <c r="AG146" i="102"/>
  <c r="AG145" i="102"/>
  <c r="AG144" i="102"/>
  <c r="AG143" i="102"/>
  <c r="AG142" i="102"/>
  <c r="AG141" i="102"/>
  <c r="AK140" i="102"/>
  <c r="AJ140" i="102"/>
  <c r="AG140" i="102"/>
  <c r="AK139" i="102"/>
  <c r="AJ139" i="102"/>
  <c r="AG139" i="102"/>
  <c r="AK138" i="102"/>
  <c r="AJ138" i="102"/>
  <c r="AG138" i="102"/>
  <c r="AK137" i="102"/>
  <c r="AJ137" i="102"/>
  <c r="AG137" i="102"/>
  <c r="AG136" i="102"/>
  <c r="AG135" i="102"/>
  <c r="AG134" i="102"/>
  <c r="AH134" i="102"/>
  <c r="AG133" i="102"/>
  <c r="AG132" i="102"/>
  <c r="AH132" i="102" s="1"/>
  <c r="AI132" i="102" s="1"/>
  <c r="AG131" i="102"/>
  <c r="AG130" i="102"/>
  <c r="AH130" i="102" s="1"/>
  <c r="AI130" i="102" s="1"/>
  <c r="AG129" i="102"/>
  <c r="AG128" i="102"/>
  <c r="AH128" i="102" s="1"/>
  <c r="AI128" i="102" s="1"/>
  <c r="AG127" i="102"/>
  <c r="AG126" i="102"/>
  <c r="AH126" i="102" s="1"/>
  <c r="AG125" i="102"/>
  <c r="AG124" i="102"/>
  <c r="AH124" i="102" s="1"/>
  <c r="AI124" i="102" s="1"/>
  <c r="AG123" i="102"/>
  <c r="AG122" i="102"/>
  <c r="AG121" i="102"/>
  <c r="AG120" i="102"/>
  <c r="AG119" i="102"/>
  <c r="AG118" i="102"/>
  <c r="AH118" i="102" s="1"/>
  <c r="AI118" i="102" s="1"/>
  <c r="AG117" i="102"/>
  <c r="AG116" i="102"/>
  <c r="AG115" i="102"/>
  <c r="AG114" i="102"/>
  <c r="AH114" i="102" s="1"/>
  <c r="AI114" i="102" s="1"/>
  <c r="AG113" i="102"/>
  <c r="AG112" i="102"/>
  <c r="AG111" i="102"/>
  <c r="AG110" i="102"/>
  <c r="AH110" i="102" s="1"/>
  <c r="AI110" i="102" s="1"/>
  <c r="AG109" i="102"/>
  <c r="AG108" i="102"/>
  <c r="AG107" i="102"/>
  <c r="AG106" i="102"/>
  <c r="AH106" i="102" s="1"/>
  <c r="AI106" i="102" s="1"/>
  <c r="AG105" i="102"/>
  <c r="AG104" i="102"/>
  <c r="AH104" i="102" s="1"/>
  <c r="AG103" i="102"/>
  <c r="AG102" i="102"/>
  <c r="AG101" i="102"/>
  <c r="AK100" i="102"/>
  <c r="AJ100" i="102"/>
  <c r="AG100" i="102"/>
  <c r="AG99" i="102"/>
  <c r="AH99" i="102" s="1"/>
  <c r="AI99" i="102" s="1"/>
  <c r="AG98" i="102"/>
  <c r="AG97" i="102"/>
  <c r="AG96" i="102"/>
  <c r="AG95" i="102"/>
  <c r="AH95" i="102" s="1"/>
  <c r="AG91" i="102"/>
  <c r="AG90" i="102"/>
  <c r="AH90" i="102" s="1"/>
  <c r="AI90" i="102" s="1"/>
  <c r="AG89" i="102"/>
  <c r="AG88" i="102"/>
  <c r="AH88" i="102" s="1"/>
  <c r="AI88" i="102" s="1"/>
  <c r="AG87" i="102"/>
  <c r="AG86" i="102"/>
  <c r="AH86" i="102" s="1"/>
  <c r="AI86" i="102" s="1"/>
  <c r="AG85" i="102"/>
  <c r="AG84" i="102"/>
  <c r="AG83" i="102"/>
  <c r="AG82" i="102"/>
  <c r="AH82" i="102" s="1"/>
  <c r="AG81" i="102"/>
  <c r="AG80" i="102"/>
  <c r="AH80" i="102" s="1"/>
  <c r="AI80" i="102" s="1"/>
  <c r="AG79" i="102"/>
  <c r="AG78" i="102"/>
  <c r="AH78" i="102" s="1"/>
  <c r="AG77" i="102"/>
  <c r="AG76" i="102"/>
  <c r="AK75" i="102"/>
  <c r="AJ75" i="102"/>
  <c r="AG75" i="102"/>
  <c r="AK74" i="102"/>
  <c r="AJ74" i="102"/>
  <c r="AG74" i="102"/>
  <c r="AG73" i="102"/>
  <c r="AG72" i="102"/>
  <c r="AG71" i="102"/>
  <c r="AG70" i="102"/>
  <c r="AG69" i="102"/>
  <c r="AG68" i="102"/>
  <c r="AG67" i="102"/>
  <c r="AG66" i="102"/>
  <c r="AG65" i="102"/>
  <c r="AG64" i="102"/>
  <c r="AG63" i="102"/>
  <c r="AG62" i="102"/>
  <c r="AG61" i="102"/>
  <c r="AG60" i="102"/>
  <c r="AG59" i="102"/>
  <c r="AG58" i="102"/>
  <c r="AG57" i="102"/>
  <c r="AG56" i="102"/>
  <c r="AG55" i="102"/>
  <c r="AG54" i="102"/>
  <c r="AG53" i="102"/>
  <c r="AG52" i="102"/>
  <c r="AG51" i="102"/>
  <c r="AG44" i="102"/>
  <c r="AG43" i="102"/>
  <c r="AG42" i="102"/>
  <c r="AG41" i="102"/>
  <c r="AG40" i="102"/>
  <c r="AG39" i="102"/>
  <c r="AG38" i="102"/>
  <c r="AG37" i="102"/>
  <c r="AG36" i="102"/>
  <c r="AG35" i="102"/>
  <c r="AG34" i="102"/>
  <c r="AG33" i="102"/>
  <c r="AG32" i="102"/>
  <c r="AG31" i="102"/>
  <c r="AG30" i="102"/>
  <c r="AG29" i="102"/>
  <c r="AG28" i="102"/>
  <c r="AG27" i="102"/>
  <c r="AG26" i="102"/>
  <c r="AG25" i="102"/>
  <c r="AG24" i="102"/>
  <c r="AG23" i="102"/>
  <c r="AG22" i="102"/>
  <c r="AG21" i="102"/>
  <c r="AG20" i="102"/>
  <c r="AG19" i="102"/>
  <c r="AG18" i="102"/>
  <c r="AG17" i="102"/>
  <c r="AG16" i="102"/>
  <c r="AG15" i="102"/>
  <c r="AG14" i="102"/>
  <c r="AG13" i="102"/>
  <c r="AG12" i="102"/>
  <c r="AG11" i="102"/>
  <c r="AG10" i="102"/>
  <c r="AG9" i="102"/>
  <c r="AG8" i="102"/>
  <c r="AG7" i="102"/>
  <c r="AG6" i="102"/>
  <c r="AK73" i="102"/>
  <c r="AJ73" i="102"/>
  <c r="AK69" i="102"/>
  <c r="AJ69" i="102"/>
  <c r="AK68" i="102"/>
  <c r="AJ68" i="102"/>
  <c r="AK67" i="102"/>
  <c r="AJ67" i="102"/>
  <c r="AK44" i="102"/>
  <c r="AJ44" i="102"/>
  <c r="AK43" i="102"/>
  <c r="AJ43" i="102"/>
  <c r="AK42" i="102"/>
  <c r="AJ42" i="102"/>
  <c r="AK41" i="102"/>
  <c r="AJ41" i="102"/>
  <c r="AK24" i="102"/>
  <c r="AJ24" i="102"/>
  <c r="AK23" i="102"/>
  <c r="AJ23" i="102"/>
  <c r="AK22" i="102"/>
  <c r="AJ22" i="102"/>
  <c r="AK21" i="102"/>
  <c r="AJ21" i="102"/>
  <c r="AK20" i="102"/>
  <c r="AJ20" i="102"/>
  <c r="AK19" i="102"/>
  <c r="AJ19" i="102"/>
  <c r="AK18" i="102"/>
  <c r="AJ18" i="102"/>
  <c r="AK17" i="102"/>
  <c r="AJ17" i="102"/>
  <c r="AK16" i="102"/>
  <c r="AJ16" i="102"/>
  <c r="AK15" i="102"/>
  <c r="AJ15" i="102"/>
  <c r="AK14" i="102"/>
  <c r="AJ14" i="102"/>
  <c r="AK13" i="102"/>
  <c r="AJ13" i="102"/>
  <c r="AK12" i="102"/>
  <c r="AJ12" i="102"/>
  <c r="AK11" i="102"/>
  <c r="AJ11" i="102"/>
  <c r="AK10" i="102"/>
  <c r="AJ10" i="102"/>
  <c r="AK9" i="102"/>
  <c r="AJ9" i="102"/>
  <c r="AK8" i="102"/>
  <c r="AJ8" i="102"/>
  <c r="AK7" i="102"/>
  <c r="AJ7" i="102"/>
  <c r="AK6" i="102"/>
  <c r="AJ6" i="102"/>
  <c r="AH64" i="102" l="1"/>
  <c r="AI64" i="102" s="1"/>
  <c r="AH81" i="102"/>
  <c r="AI81" i="102" s="1"/>
  <c r="AH85" i="102"/>
  <c r="AI85" i="102" s="1"/>
  <c r="AH87" i="102"/>
  <c r="AI87" i="102" s="1"/>
  <c r="AH89" i="102"/>
  <c r="AI89" i="102" s="1"/>
  <c r="AH91" i="102"/>
  <c r="AI91" i="102" s="1"/>
  <c r="AH101" i="102"/>
  <c r="AI101" i="102" s="1"/>
  <c r="AH103" i="102"/>
  <c r="AI103" i="102" s="1"/>
  <c r="AH105" i="102"/>
  <c r="AI105" i="102" s="1"/>
  <c r="AH109" i="102"/>
  <c r="AI109" i="102" s="1"/>
  <c r="AH111" i="102"/>
  <c r="AI111" i="102" s="1"/>
  <c r="AH115" i="102"/>
  <c r="AI115" i="102" s="1"/>
  <c r="AH119" i="102"/>
  <c r="AI119" i="102" s="1"/>
  <c r="AH121" i="102"/>
  <c r="AI121" i="102" s="1"/>
  <c r="AH123" i="102"/>
  <c r="AI123" i="102" s="1"/>
  <c r="AH125" i="102"/>
  <c r="AI125" i="102" s="1"/>
  <c r="AH127" i="102"/>
  <c r="AI127" i="102" s="1"/>
  <c r="AH129" i="102"/>
  <c r="AI129" i="102" s="1"/>
  <c r="AH131" i="102"/>
  <c r="AI131" i="102" s="1"/>
  <c r="AH138" i="102"/>
  <c r="AI138" i="102" s="1"/>
  <c r="AH139" i="102"/>
  <c r="AI139" i="102" s="1"/>
  <c r="AL75" i="102"/>
  <c r="AL138" i="102"/>
  <c r="AL6" i="102"/>
  <c r="AL100" i="102"/>
  <c r="AL137" i="102"/>
  <c r="AL139" i="102"/>
  <c r="AL140" i="102"/>
  <c r="AL69" i="102"/>
  <c r="AI154" i="102"/>
  <c r="AI157" i="102"/>
  <c r="AH155" i="102"/>
  <c r="AI155" i="102" s="1"/>
  <c r="AH152" i="102"/>
  <c r="AI152" i="102" s="1"/>
  <c r="AH159" i="102"/>
  <c r="AI159" i="102" s="1"/>
  <c r="AH156" i="102"/>
  <c r="AI156" i="102" s="1"/>
  <c r="AH153" i="102"/>
  <c r="AI153" i="102" s="1"/>
  <c r="AH158" i="102"/>
  <c r="AI158" i="102" s="1"/>
  <c r="AH151" i="102"/>
  <c r="AI151" i="102" s="1"/>
  <c r="AH150" i="102"/>
  <c r="AI150" i="102" s="1"/>
  <c r="AH149" i="102"/>
  <c r="AI149" i="102" s="1"/>
  <c r="AH148" i="102"/>
  <c r="AI148" i="102" s="1"/>
  <c r="AH147" i="102"/>
  <c r="AI147" i="102" s="1"/>
  <c r="AH146" i="102"/>
  <c r="AI146" i="102" s="1"/>
  <c r="AH145" i="102"/>
  <c r="AI145" i="102" s="1"/>
  <c r="AH144" i="102"/>
  <c r="AI144" i="102" s="1"/>
  <c r="AH143" i="102"/>
  <c r="AI143" i="102" s="1"/>
  <c r="AH142" i="102"/>
  <c r="AI142" i="102" s="1"/>
  <c r="AH141" i="102"/>
  <c r="AI141" i="102" s="1"/>
  <c r="AH140" i="102"/>
  <c r="AI140" i="102" s="1"/>
  <c r="AH137" i="102"/>
  <c r="AI137" i="102" s="1"/>
  <c r="AH136" i="102"/>
  <c r="AI136" i="102" s="1"/>
  <c r="AI134" i="102"/>
  <c r="AH133" i="102"/>
  <c r="AI133" i="102" s="1"/>
  <c r="AH135" i="102"/>
  <c r="AI135" i="102" s="1"/>
  <c r="AI126" i="102"/>
  <c r="AH122" i="102"/>
  <c r="AI122" i="102" s="1"/>
  <c r="AH120" i="102"/>
  <c r="AI120" i="102" s="1"/>
  <c r="AH117" i="102"/>
  <c r="AI117" i="102" s="1"/>
  <c r="AH116" i="102"/>
  <c r="AI116" i="102" s="1"/>
  <c r="AH113" i="102"/>
  <c r="AI113" i="102" s="1"/>
  <c r="AH112" i="102"/>
  <c r="AI112" i="102" s="1"/>
  <c r="AH108" i="102"/>
  <c r="AI108" i="102" s="1"/>
  <c r="AH107" i="102"/>
  <c r="AI107" i="102" s="1"/>
  <c r="AI104" i="102"/>
  <c r="AH102" i="102"/>
  <c r="AI102" i="102" s="1"/>
  <c r="AH100" i="102"/>
  <c r="AI100" i="102" s="1"/>
  <c r="AH97" i="102"/>
  <c r="AI97" i="102" s="1"/>
  <c r="AH98" i="102"/>
  <c r="AI98" i="102" s="1"/>
  <c r="AH96" i="102"/>
  <c r="AI96" i="102" s="1"/>
  <c r="AI95" i="102"/>
  <c r="AH71" i="102"/>
  <c r="AI71" i="102" s="1"/>
  <c r="AN71" i="102" s="1"/>
  <c r="AQ71" i="102" s="1"/>
  <c r="AH84" i="102"/>
  <c r="AI84" i="102" s="1"/>
  <c r="AH83" i="102"/>
  <c r="AI83" i="102" s="1"/>
  <c r="AI82" i="102"/>
  <c r="AL7" i="102"/>
  <c r="AL9" i="102"/>
  <c r="AL11" i="102"/>
  <c r="AL13" i="102"/>
  <c r="AL15" i="102"/>
  <c r="AL17" i="102"/>
  <c r="AL19" i="102"/>
  <c r="AL21" i="102"/>
  <c r="AL23" i="102"/>
  <c r="AL41" i="102"/>
  <c r="AL43" i="102"/>
  <c r="AL73" i="102"/>
  <c r="AL8" i="102"/>
  <c r="AL10" i="102"/>
  <c r="AL12" i="102"/>
  <c r="AL14" i="102"/>
  <c r="AL16" i="102"/>
  <c r="AL18" i="102"/>
  <c r="AL20" i="102"/>
  <c r="AL22" i="102"/>
  <c r="AL24" i="102"/>
  <c r="AL42" i="102"/>
  <c r="AL44" i="102"/>
  <c r="AH62" i="102"/>
  <c r="AI62" i="102" s="1"/>
  <c r="AH79" i="102"/>
  <c r="AI79" i="102" s="1"/>
  <c r="AH77" i="102"/>
  <c r="AI77" i="102" s="1"/>
  <c r="AI78" i="102"/>
  <c r="AH76" i="102"/>
  <c r="AI76" i="102" s="1"/>
  <c r="AL74" i="102"/>
  <c r="AH74" i="102"/>
  <c r="AI74" i="102" s="1"/>
  <c r="AH75" i="102"/>
  <c r="AI75" i="102" s="1"/>
  <c r="AH73" i="102"/>
  <c r="AI73" i="102" s="1"/>
  <c r="AL68" i="102"/>
  <c r="AH70" i="102"/>
  <c r="AI70" i="102" s="1"/>
  <c r="AN70" i="102" s="1"/>
  <c r="AQ70" i="102" s="1"/>
  <c r="AH72" i="102"/>
  <c r="AI72" i="102" s="1"/>
  <c r="AN72" i="102" s="1"/>
  <c r="AQ72" i="102" s="1"/>
  <c r="AH68" i="102"/>
  <c r="AI68" i="102" s="1"/>
  <c r="AH69" i="102"/>
  <c r="AI69" i="102" s="1"/>
  <c r="AL67" i="102"/>
  <c r="AH67" i="102"/>
  <c r="AI67" i="102" s="1"/>
  <c r="AH66" i="102"/>
  <c r="AI66" i="102" s="1"/>
  <c r="AH65" i="102"/>
  <c r="AI65" i="102" s="1"/>
  <c r="AH61" i="102"/>
  <c r="AI61" i="102" s="1"/>
  <c r="AH63" i="102"/>
  <c r="AI63" i="102" s="1"/>
  <c r="AH60" i="102"/>
  <c r="AI60" i="102" s="1"/>
  <c r="AH55" i="102"/>
  <c r="AI55" i="102" s="1"/>
  <c r="AH56" i="102"/>
  <c r="AI56" i="102" s="1"/>
  <c r="AH57" i="102"/>
  <c r="AI57" i="102" s="1"/>
  <c r="AH58" i="102"/>
  <c r="AI58" i="102" s="1"/>
  <c r="AH59" i="102"/>
  <c r="AI59" i="102" s="1"/>
  <c r="AH54" i="102"/>
  <c r="AI54" i="102" s="1"/>
  <c r="AH53" i="102"/>
  <c r="AI53" i="102" s="1"/>
  <c r="AH52" i="102"/>
  <c r="AI52" i="102" s="1"/>
  <c r="AH51" i="102"/>
  <c r="AI51" i="102" s="1"/>
  <c r="AH41" i="102"/>
  <c r="AI41" i="102" s="1"/>
  <c r="AH42" i="102"/>
  <c r="AI42" i="102" s="1"/>
  <c r="AH43" i="102"/>
  <c r="AI43" i="102" s="1"/>
  <c r="AH44" i="102"/>
  <c r="AI44" i="102" s="1"/>
  <c r="AH37" i="102"/>
  <c r="AI37" i="102" s="1"/>
  <c r="AH38" i="102"/>
  <c r="AI38" i="102" s="1"/>
  <c r="AH39" i="102"/>
  <c r="AI39" i="102" s="1"/>
  <c r="AH40" i="102"/>
  <c r="AI40" i="102" s="1"/>
  <c r="AH34" i="102"/>
  <c r="AI34" i="102" s="1"/>
  <c r="AH35" i="102"/>
  <c r="AI35" i="102" s="1"/>
  <c r="AH36" i="102"/>
  <c r="AI36" i="102" s="1"/>
  <c r="AH33" i="102"/>
  <c r="AI33" i="102" s="1"/>
  <c r="AH32" i="102"/>
  <c r="AI32" i="102" s="1"/>
  <c r="AH25" i="102"/>
  <c r="AI25" i="102" s="1"/>
  <c r="AH26" i="102"/>
  <c r="AI26" i="102" s="1"/>
  <c r="AH27" i="102"/>
  <c r="AI27" i="102" s="1"/>
  <c r="AH28" i="102"/>
  <c r="AI28" i="102" s="1"/>
  <c r="AH29" i="102"/>
  <c r="AI29" i="102" s="1"/>
  <c r="AH30" i="102"/>
  <c r="AI30" i="102" s="1"/>
  <c r="AH31" i="102"/>
  <c r="AI31" i="102" s="1"/>
  <c r="AH21" i="102"/>
  <c r="AI21" i="102" s="1"/>
  <c r="AH22" i="102"/>
  <c r="AI22" i="102" s="1"/>
  <c r="AH23" i="102"/>
  <c r="AI23" i="102" s="1"/>
  <c r="AH24" i="102"/>
  <c r="AI24" i="102" s="1"/>
  <c r="AH20" i="102"/>
  <c r="AI20" i="102" s="1"/>
  <c r="AH19" i="102"/>
  <c r="AI19" i="102" s="1"/>
  <c r="AH15" i="102"/>
  <c r="AI15" i="102" s="1"/>
  <c r="AH16" i="102"/>
  <c r="AI16" i="102" s="1"/>
  <c r="AH17" i="102"/>
  <c r="AI17" i="102" s="1"/>
  <c r="AH18" i="102"/>
  <c r="AI18" i="102" s="1"/>
  <c r="AH14" i="102"/>
  <c r="AI14" i="102" s="1"/>
  <c r="AH13" i="102"/>
  <c r="AI13" i="102" s="1"/>
  <c r="AH11" i="102"/>
  <c r="AI11" i="102" s="1"/>
  <c r="AH12" i="102"/>
  <c r="AI12" i="102" s="1"/>
  <c r="AH10" i="102"/>
  <c r="AI10" i="102" s="1"/>
  <c r="AH7" i="102"/>
  <c r="AI7" i="102" s="1"/>
  <c r="AH8" i="102"/>
  <c r="AI8" i="102" s="1"/>
  <c r="AH9" i="102"/>
  <c r="AI9" i="102" s="1"/>
  <c r="AH6" i="102"/>
  <c r="AI6" i="102" s="1"/>
  <c r="AN68" i="102" l="1"/>
  <c r="AN44" i="102"/>
  <c r="AO44" i="102" s="1"/>
  <c r="AN10" i="102"/>
  <c r="AN75" i="102"/>
  <c r="AO75" i="102" s="1"/>
  <c r="AN139" i="102"/>
  <c r="AO139" i="102" s="1"/>
  <c r="AN138" i="102"/>
  <c r="AO138" i="102" s="1"/>
  <c r="AN21" i="102"/>
  <c r="AN137" i="102"/>
  <c r="AO137" i="102" s="1"/>
  <c r="AN6" i="102"/>
  <c r="AM82" i="102" s="1"/>
  <c r="AN82" i="102" s="1"/>
  <c r="AO82" i="102" s="1"/>
  <c r="AN140" i="102"/>
  <c r="AO140" i="102" s="1"/>
  <c r="AN100" i="102"/>
  <c r="AN8" i="102"/>
  <c r="AN7" i="102"/>
  <c r="AM66" i="102" s="1"/>
  <c r="AN66" i="102" s="1"/>
  <c r="AN16" i="102"/>
  <c r="AN24" i="102"/>
  <c r="AN15" i="102"/>
  <c r="AN23" i="102"/>
  <c r="AN69" i="102"/>
  <c r="AN13" i="102"/>
  <c r="AM136" i="102" s="1"/>
  <c r="AN136" i="102" s="1"/>
  <c r="AN14" i="102"/>
  <c r="AN22" i="102"/>
  <c r="AN67" i="102"/>
  <c r="AN73" i="102"/>
  <c r="AO73" i="102" s="1"/>
  <c r="AN9" i="102"/>
  <c r="AN18" i="102"/>
  <c r="AN42" i="102"/>
  <c r="AO42" i="102" s="1"/>
  <c r="AN17" i="102"/>
  <c r="AN41" i="102"/>
  <c r="AO41" i="102" s="1"/>
  <c r="AN43" i="102"/>
  <c r="AO43" i="102" s="1"/>
  <c r="AN12" i="102"/>
  <c r="AM94" i="102" s="1"/>
  <c r="AN94" i="102" s="1"/>
  <c r="AO94" i="102" s="1"/>
  <c r="AN19" i="102"/>
  <c r="AN11" i="102"/>
  <c r="AM93" i="102" s="1"/>
  <c r="AN93" i="102" s="1"/>
  <c r="AO93" i="102" s="1"/>
  <c r="AN20" i="102"/>
  <c r="AN74" i="102"/>
  <c r="AO74" i="102" s="1"/>
  <c r="A159" i="102"/>
  <c r="A158" i="102"/>
  <c r="A157" i="102"/>
  <c r="A156" i="102"/>
  <c r="A155" i="102"/>
  <c r="A154" i="102"/>
  <c r="A153" i="102"/>
  <c r="A152" i="102"/>
  <c r="A151" i="102"/>
  <c r="A150" i="102"/>
  <c r="A149" i="102"/>
  <c r="A148" i="102"/>
  <c r="A147" i="102"/>
  <c r="A146" i="102"/>
  <c r="A145" i="102"/>
  <c r="A144" i="102"/>
  <c r="A143" i="102"/>
  <c r="A142" i="102"/>
  <c r="A141" i="102"/>
  <c r="A140" i="102"/>
  <c r="A139" i="102"/>
  <c r="A138" i="102"/>
  <c r="A137" i="102"/>
  <c r="A136" i="102"/>
  <c r="A135" i="102"/>
  <c r="A134" i="102"/>
  <c r="A133" i="102"/>
  <c r="A132" i="102"/>
  <c r="A131" i="102"/>
  <c r="A130" i="102"/>
  <c r="A129" i="102"/>
  <c r="A128" i="102"/>
  <c r="A127" i="102"/>
  <c r="A126" i="102"/>
  <c r="A125" i="102"/>
  <c r="A124" i="102"/>
  <c r="A123" i="102"/>
  <c r="A122" i="102"/>
  <c r="A121" i="102"/>
  <c r="A120" i="102"/>
  <c r="A119" i="102"/>
  <c r="A118" i="102"/>
  <c r="A117" i="102"/>
  <c r="A116" i="102"/>
  <c r="A115" i="102"/>
  <c r="A114" i="102"/>
  <c r="A113" i="102"/>
  <c r="A112" i="102"/>
  <c r="A111" i="102"/>
  <c r="A110" i="102"/>
  <c r="A109" i="102"/>
  <c r="A108" i="102"/>
  <c r="A107" i="102"/>
  <c r="A106" i="102"/>
  <c r="A105" i="102"/>
  <c r="A104" i="102"/>
  <c r="A103" i="102"/>
  <c r="A102" i="102"/>
  <c r="A101" i="102"/>
  <c r="G159" i="102"/>
  <c r="G158" i="102"/>
  <c r="G157" i="102"/>
  <c r="G156" i="102"/>
  <c r="G155" i="102"/>
  <c r="G154" i="102"/>
  <c r="G153" i="102"/>
  <c r="G152" i="102"/>
  <c r="G151" i="102"/>
  <c r="G150" i="102"/>
  <c r="G149" i="102"/>
  <c r="G148" i="102"/>
  <c r="G147" i="102"/>
  <c r="G146" i="102"/>
  <c r="G145" i="102"/>
  <c r="G144" i="102"/>
  <c r="G143" i="102"/>
  <c r="G142" i="102"/>
  <c r="G141" i="102"/>
  <c r="G140" i="102"/>
  <c r="G139" i="102"/>
  <c r="G138" i="102"/>
  <c r="G137" i="102"/>
  <c r="G131" i="102"/>
  <c r="G130" i="102"/>
  <c r="G129" i="102"/>
  <c r="G128" i="102"/>
  <c r="G127" i="102"/>
  <c r="G126" i="102"/>
  <c r="G125" i="102"/>
  <c r="G124" i="102"/>
  <c r="G123" i="102"/>
  <c r="G122" i="102"/>
  <c r="G121" i="102"/>
  <c r="G120" i="102"/>
  <c r="G119" i="102"/>
  <c r="G118" i="102"/>
  <c r="G117" i="102"/>
  <c r="G116" i="102"/>
  <c r="G115" i="102"/>
  <c r="G114" i="102"/>
  <c r="G113" i="102"/>
  <c r="G112" i="102"/>
  <c r="G111" i="102"/>
  <c r="G110" i="102"/>
  <c r="G109" i="102"/>
  <c r="G108" i="102"/>
  <c r="G107" i="102"/>
  <c r="G106" i="102"/>
  <c r="G105" i="102"/>
  <c r="G104" i="102"/>
  <c r="G103" i="102"/>
  <c r="G102" i="102"/>
  <c r="G101" i="102"/>
  <c r="G100" i="102"/>
  <c r="G99" i="102"/>
  <c r="G98" i="102"/>
  <c r="G97" i="102"/>
  <c r="G96" i="102"/>
  <c r="G95" i="102"/>
  <c r="G91" i="102"/>
  <c r="G90" i="102"/>
  <c r="G89" i="102"/>
  <c r="G88" i="102"/>
  <c r="G87" i="102"/>
  <c r="G86" i="102"/>
  <c r="G85" i="102"/>
  <c r="G84" i="102"/>
  <c r="G83" i="102"/>
  <c r="G82" i="102"/>
  <c r="G81" i="102"/>
  <c r="G80" i="102"/>
  <c r="G79" i="102"/>
  <c r="G78" i="102"/>
  <c r="G77" i="102"/>
  <c r="G76" i="102"/>
  <c r="G75" i="102"/>
  <c r="G74" i="102"/>
  <c r="G73" i="102"/>
  <c r="G72" i="102"/>
  <c r="G71" i="102"/>
  <c r="G70" i="102"/>
  <c r="G69" i="102"/>
  <c r="G68" i="102"/>
  <c r="G67" i="102"/>
  <c r="G66" i="102"/>
  <c r="G65" i="102"/>
  <c r="G64" i="102"/>
  <c r="G63" i="102"/>
  <c r="G62" i="102"/>
  <c r="G61" i="102"/>
  <c r="G60" i="102"/>
  <c r="G59" i="102"/>
  <c r="G58" i="102"/>
  <c r="G57" i="102"/>
  <c r="G56" i="102"/>
  <c r="G55" i="102"/>
  <c r="G54" i="102"/>
  <c r="G53" i="102"/>
  <c r="G52" i="102"/>
  <c r="G51" i="102"/>
  <c r="G40" i="102"/>
  <c r="G39" i="102"/>
  <c r="G38" i="102"/>
  <c r="G37" i="102"/>
  <c r="G36" i="102"/>
  <c r="G35" i="102"/>
  <c r="G34" i="102"/>
  <c r="G33" i="102"/>
  <c r="G32" i="102"/>
  <c r="G31" i="102"/>
  <c r="G30" i="102"/>
  <c r="G29" i="102"/>
  <c r="G28" i="102"/>
  <c r="G27" i="102"/>
  <c r="G26" i="102"/>
  <c r="G25" i="102"/>
  <c r="G24" i="102"/>
  <c r="G23" i="102"/>
  <c r="G22" i="102"/>
  <c r="G21" i="102"/>
  <c r="G20" i="102"/>
  <c r="G19" i="102"/>
  <c r="G18" i="102"/>
  <c r="G17" i="102"/>
  <c r="G16" i="102"/>
  <c r="G15" i="102"/>
  <c r="G14" i="102"/>
  <c r="G13" i="102"/>
  <c r="G12" i="102"/>
  <c r="G11" i="102"/>
  <c r="G10" i="102"/>
  <c r="G9" i="102"/>
  <c r="G8" i="102"/>
  <c r="G7" i="102"/>
  <c r="G6" i="102"/>
  <c r="AM147" i="102" l="1"/>
  <c r="AN147" i="102" s="1"/>
  <c r="AM119" i="102"/>
  <c r="AN119" i="102" s="1"/>
  <c r="AO119" i="102" s="1"/>
  <c r="AM92" i="102"/>
  <c r="AN92" i="102" s="1"/>
  <c r="AO92" i="102" s="1"/>
  <c r="AM143" i="102"/>
  <c r="AN143" i="102" s="1"/>
  <c r="AM115" i="102"/>
  <c r="AN115" i="102" s="1"/>
  <c r="AO115" i="102" s="1"/>
  <c r="AM159" i="102"/>
  <c r="AN159" i="102" s="1"/>
  <c r="AM113" i="102"/>
  <c r="AN113" i="102" s="1"/>
  <c r="AO113" i="102" s="1"/>
  <c r="AM122" i="102"/>
  <c r="AN122" i="102" s="1"/>
  <c r="AO122" i="102" s="1"/>
  <c r="AM131" i="102"/>
  <c r="AN131" i="102" s="1"/>
  <c r="AO131" i="102" s="1"/>
  <c r="AM127" i="102"/>
  <c r="AN127" i="102" s="1"/>
  <c r="AO127" i="102" s="1"/>
  <c r="AM52" i="102"/>
  <c r="AN52" i="102" s="1"/>
  <c r="AM125" i="102"/>
  <c r="AN125" i="102" s="1"/>
  <c r="AO125" i="102" s="1"/>
  <c r="AM87" i="102"/>
  <c r="AN87" i="102" s="1"/>
  <c r="AO87" i="102" s="1"/>
  <c r="AM79" i="102"/>
  <c r="AN79" i="102" s="1"/>
  <c r="AO79" i="102" s="1"/>
  <c r="AM80" i="102"/>
  <c r="AN80" i="102" s="1"/>
  <c r="AO80" i="102" s="1"/>
  <c r="AM85" i="102"/>
  <c r="AN85" i="102" s="1"/>
  <c r="AO85" i="102" s="1"/>
  <c r="AM141" i="102"/>
  <c r="AN141" i="102" s="1"/>
  <c r="AM77" i="102"/>
  <c r="AN77" i="102" s="1"/>
  <c r="AO77" i="102" s="1"/>
  <c r="AM81" i="102"/>
  <c r="AN81" i="102" s="1"/>
  <c r="AO81" i="102" s="1"/>
  <c r="AM84" i="102"/>
  <c r="AN84" i="102" s="1"/>
  <c r="AO84" i="102" s="1"/>
  <c r="AM86" i="102"/>
  <c r="AN86" i="102" s="1"/>
  <c r="AO86" i="102" s="1"/>
  <c r="AM78" i="102"/>
  <c r="AN78" i="102" s="1"/>
  <c r="AO78" i="102" s="1"/>
  <c r="AM65" i="102"/>
  <c r="AN65" i="102" s="1"/>
  <c r="AM88" i="102"/>
  <c r="AN88" i="102" s="1"/>
  <c r="AO88" i="102" s="1"/>
  <c r="AM76" i="102"/>
  <c r="AN76" i="102" s="1"/>
  <c r="AO76" i="102" s="1"/>
  <c r="AM83" i="102"/>
  <c r="AN83" i="102" s="1"/>
  <c r="AO83" i="102" s="1"/>
  <c r="AM95" i="102"/>
  <c r="AN95" i="102" s="1"/>
  <c r="AM63" i="102"/>
  <c r="AN63" i="102" s="1"/>
  <c r="AM61" i="102"/>
  <c r="AN61" i="102" s="1"/>
  <c r="AM89" i="102"/>
  <c r="AN89" i="102" s="1"/>
  <c r="AO89" i="102" s="1"/>
  <c r="AM129" i="102"/>
  <c r="AN129" i="102" s="1"/>
  <c r="AO129" i="102" s="1"/>
  <c r="AM133" i="102"/>
  <c r="AN133" i="102" s="1"/>
  <c r="AM60" i="102"/>
  <c r="AN60" i="102" s="1"/>
  <c r="AM90" i="102"/>
  <c r="AN90" i="102" s="1"/>
  <c r="AO90" i="102" s="1"/>
  <c r="AM154" i="102"/>
  <c r="AN154" i="102" s="1"/>
  <c r="AM132" i="102"/>
  <c r="AN132" i="102" s="1"/>
  <c r="AM62" i="102"/>
  <c r="AN62" i="102" s="1"/>
  <c r="AM148" i="102"/>
  <c r="AN148" i="102" s="1"/>
  <c r="AM144" i="102"/>
  <c r="AN144" i="102" s="1"/>
  <c r="AM152" i="102"/>
  <c r="AN152" i="102" s="1"/>
  <c r="AM153" i="102"/>
  <c r="AN153" i="102" s="1"/>
  <c r="AM134" i="102"/>
  <c r="AN134" i="102" s="1"/>
  <c r="AM150" i="102"/>
  <c r="AN150" i="102" s="1"/>
  <c r="AM97" i="102"/>
  <c r="AN97" i="102" s="1"/>
  <c r="AM155" i="102"/>
  <c r="AN155" i="102" s="1"/>
  <c r="AM111" i="102"/>
  <c r="AN111" i="102" s="1"/>
  <c r="AO111" i="102" s="1"/>
  <c r="AM146" i="102"/>
  <c r="AN146" i="102" s="1"/>
  <c r="AM158" i="102"/>
  <c r="AN158" i="102" s="1"/>
  <c r="AM145" i="102"/>
  <c r="AN145" i="102" s="1"/>
  <c r="AM53" i="102"/>
  <c r="AN53" i="102" s="1"/>
  <c r="AM103" i="102"/>
  <c r="AN103" i="102" s="1"/>
  <c r="AO103" i="102" s="1"/>
  <c r="AM128" i="102"/>
  <c r="AN128" i="102" s="1"/>
  <c r="AO128" i="102" s="1"/>
  <c r="AM110" i="102"/>
  <c r="AN110" i="102" s="1"/>
  <c r="AO110" i="102" s="1"/>
  <c r="AM105" i="102"/>
  <c r="AN105" i="102" s="1"/>
  <c r="AO105" i="102" s="1"/>
  <c r="AM126" i="102"/>
  <c r="AN126" i="102" s="1"/>
  <c r="AO126" i="102" s="1"/>
  <c r="AM107" i="102"/>
  <c r="AN107" i="102" s="1"/>
  <c r="AO107" i="102" s="1"/>
  <c r="AM123" i="102"/>
  <c r="AN123" i="102" s="1"/>
  <c r="AO123" i="102" s="1"/>
  <c r="AM106" i="102"/>
  <c r="AN106" i="102" s="1"/>
  <c r="AO106" i="102" s="1"/>
  <c r="AM102" i="102"/>
  <c r="AN102" i="102" s="1"/>
  <c r="AO102" i="102" s="1"/>
  <c r="AM120" i="102"/>
  <c r="AN120" i="102" s="1"/>
  <c r="AO120" i="102" s="1"/>
  <c r="AM109" i="102"/>
  <c r="AN109" i="102" s="1"/>
  <c r="AO109" i="102" s="1"/>
  <c r="AM101" i="102"/>
  <c r="AN101" i="102" s="1"/>
  <c r="AO101" i="102" s="1"/>
  <c r="AM121" i="102"/>
  <c r="AN121" i="102" s="1"/>
  <c r="AO121" i="102" s="1"/>
  <c r="AM108" i="102"/>
  <c r="AN108" i="102" s="1"/>
  <c r="AO108" i="102" s="1"/>
  <c r="AM104" i="102"/>
  <c r="AN104" i="102" s="1"/>
  <c r="AO104" i="102" s="1"/>
  <c r="AM91" i="102"/>
  <c r="AN91" i="102" s="1"/>
  <c r="AO91" i="102" s="1"/>
  <c r="AM151" i="102"/>
  <c r="AN151" i="102" s="1"/>
  <c r="AM130" i="102"/>
  <c r="AN130" i="102" s="1"/>
  <c r="AO130" i="102" s="1"/>
  <c r="AM118" i="102"/>
  <c r="AN118" i="102" s="1"/>
  <c r="AO118" i="102" s="1"/>
  <c r="AM98" i="102"/>
  <c r="AN98" i="102" s="1"/>
  <c r="AM96" i="102"/>
  <c r="AN96" i="102" s="1"/>
  <c r="AM135" i="102"/>
  <c r="AN135" i="102" s="1"/>
  <c r="AM117" i="102"/>
  <c r="AN117" i="102" s="1"/>
  <c r="AO117" i="102" s="1"/>
  <c r="AM112" i="102"/>
  <c r="AN112" i="102" s="1"/>
  <c r="AO112" i="102" s="1"/>
  <c r="AM157" i="102"/>
  <c r="AN157" i="102" s="1"/>
  <c r="AM149" i="102"/>
  <c r="AN149" i="102" s="1"/>
  <c r="AM124" i="102"/>
  <c r="AN124" i="102" s="1"/>
  <c r="AO124" i="102" s="1"/>
  <c r="AM99" i="102"/>
  <c r="AN99" i="102" s="1"/>
  <c r="AM156" i="102"/>
  <c r="AN156" i="102" s="1"/>
  <c r="AM116" i="102"/>
  <c r="AN116" i="102" s="1"/>
  <c r="AO116" i="102" s="1"/>
  <c r="AM114" i="102"/>
  <c r="AN114" i="102" s="1"/>
  <c r="AO114" i="102" s="1"/>
  <c r="AM64" i="102"/>
  <c r="AN64" i="102" s="1"/>
  <c r="AM51" i="102"/>
  <c r="AN51" i="102" s="1"/>
  <c r="A100" i="102"/>
  <c r="A99" i="102"/>
  <c r="A98" i="102"/>
  <c r="A97" i="102"/>
  <c r="A96" i="102"/>
  <c r="A95" i="102"/>
  <c r="A90" i="102"/>
  <c r="A89" i="102"/>
  <c r="A88" i="102"/>
  <c r="A87" i="102"/>
  <c r="A86" i="102"/>
  <c r="A85" i="102"/>
  <c r="A84" i="102"/>
  <c r="A83" i="102"/>
  <c r="A82" i="102"/>
  <c r="A81" i="102"/>
  <c r="A80" i="102"/>
  <c r="A79" i="102"/>
  <c r="A78" i="102"/>
  <c r="A77" i="102"/>
  <c r="A76" i="102"/>
  <c r="A75" i="102"/>
  <c r="A74" i="102"/>
  <c r="A73" i="102"/>
  <c r="A72" i="102"/>
  <c r="A71" i="102"/>
  <c r="A70" i="102"/>
  <c r="A69" i="102"/>
  <c r="A68" i="102"/>
  <c r="A67" i="102"/>
  <c r="A66" i="102"/>
  <c r="A65" i="102"/>
  <c r="A64" i="102"/>
  <c r="A63" i="102"/>
  <c r="A62" i="102"/>
  <c r="A61" i="102"/>
  <c r="A60" i="102"/>
  <c r="A59" i="102"/>
  <c r="A58" i="102"/>
  <c r="A57" i="102"/>
  <c r="A56" i="102"/>
  <c r="A55" i="102"/>
  <c r="A54" i="102"/>
  <c r="A53" i="102"/>
  <c r="A52" i="102"/>
  <c r="A51" i="102"/>
  <c r="A43" i="102"/>
  <c r="A42" i="102"/>
  <c r="A41" i="102"/>
  <c r="A40" i="102"/>
  <c r="A39" i="102"/>
  <c r="A38" i="102"/>
  <c r="A37" i="102"/>
  <c r="A36" i="102"/>
  <c r="A35" i="102"/>
  <c r="A34" i="102"/>
  <c r="A33" i="102"/>
  <c r="A32" i="102"/>
  <c r="A31" i="102"/>
  <c r="A30" i="102"/>
  <c r="A29" i="102"/>
  <c r="A28" i="102"/>
  <c r="A27" i="102"/>
  <c r="A26" i="102"/>
  <c r="A25" i="102"/>
  <c r="A24" i="102"/>
  <c r="A23" i="102"/>
  <c r="A22" i="102"/>
  <c r="A21" i="102"/>
  <c r="A20" i="102"/>
  <c r="A19" i="102"/>
  <c r="A18" i="102"/>
  <c r="A17" i="102"/>
  <c r="A16" i="102"/>
  <c r="A15" i="102"/>
  <c r="A14" i="102"/>
  <c r="A13" i="102"/>
  <c r="A12" i="102"/>
  <c r="A11" i="102"/>
  <c r="A10" i="102"/>
  <c r="A9" i="102"/>
  <c r="A8" i="102"/>
  <c r="A7" i="102"/>
  <c r="A6" i="102"/>
  <c r="L28" i="105"/>
  <c r="I28" i="105"/>
  <c r="F28" i="105"/>
  <c r="F62" i="105" l="1"/>
  <c r="I62" i="105"/>
  <c r="L62" i="105"/>
  <c r="L43" i="105"/>
  <c r="F38" i="105" l="1"/>
  <c r="I38" i="105"/>
  <c r="F54" i="105"/>
  <c r="F53" i="105"/>
  <c r="L38" i="105"/>
  <c r="L56" i="105"/>
  <c r="L54" i="105"/>
  <c r="L53" i="105"/>
  <c r="L55" i="105"/>
  <c r="I54" i="105"/>
  <c r="I53" i="105"/>
  <c r="I55" i="105"/>
  <c r="I43" i="105"/>
  <c r="I56" i="105" s="1"/>
  <c r="F43" i="105"/>
  <c r="F56" i="105" s="1"/>
  <c r="F55" i="105"/>
  <c r="S54" i="105"/>
  <c r="F77" i="105"/>
  <c r="G49" i="105" l="1"/>
  <c r="L57" i="105"/>
  <c r="L58" i="105" s="1"/>
  <c r="L63" i="105" s="1"/>
  <c r="L64" i="105" s="1"/>
  <c r="L65" i="105" s="1"/>
  <c r="M49" i="105"/>
  <c r="Z59" i="105"/>
  <c r="Y59" i="105"/>
  <c r="M59" i="105"/>
  <c r="V58" i="105"/>
  <c r="J49" i="105"/>
  <c r="I57" i="105"/>
  <c r="I58" i="105" s="1"/>
  <c r="I63" i="105" s="1"/>
  <c r="I64" i="105" s="1"/>
  <c r="I65" i="105" s="1"/>
  <c r="F71" i="105"/>
  <c r="F70" i="105"/>
  <c r="F57" i="105"/>
  <c r="S59" i="105" l="1"/>
  <c r="I66" i="105" s="1"/>
  <c r="M66" i="105"/>
  <c r="F72" i="105"/>
  <c r="F58" i="105"/>
  <c r="L59" i="105" l="1"/>
  <c r="I59" i="105"/>
  <c r="G59" i="105"/>
  <c r="J59" i="105" s="1"/>
  <c r="J66" i="105" s="1"/>
  <c r="L66" i="105"/>
  <c r="F63" i="105"/>
  <c r="F64" i="105" s="1"/>
  <c r="F79" i="105" s="1"/>
  <c r="F59" i="105"/>
  <c r="F73" i="105"/>
  <c r="F74" i="105" s="1"/>
  <c r="G66" i="105" l="1"/>
  <c r="G74" i="105"/>
  <c r="G81" i="105" s="1"/>
  <c r="F78" i="105"/>
  <c r="F65" i="105"/>
  <c r="F66" i="105" s="1"/>
  <c r="F80" i="105" l="1"/>
  <c r="F81" i="105" s="1"/>
</calcChain>
</file>

<file path=xl/sharedStrings.xml><?xml version="1.0" encoding="utf-8"?>
<sst xmlns="http://schemas.openxmlformats.org/spreadsheetml/2006/main" count="1949" uniqueCount="842">
  <si>
    <t>Machine Size</t>
  </si>
  <si>
    <t>Insurance and Housing</t>
  </si>
  <si>
    <t>Litre / Hour</t>
  </si>
  <si>
    <t>Rental Rate    ($/hr)</t>
  </si>
  <si>
    <t>Fuel Cost           ($/hr)</t>
  </si>
  <si>
    <t>Custom Rate                     ($/hr)</t>
  </si>
  <si>
    <t>Tractors</t>
  </si>
  <si>
    <t>100-119 hp</t>
  </si>
  <si>
    <t>550-599 hp</t>
  </si>
  <si>
    <t>600+ hp</t>
  </si>
  <si>
    <t>350-449 hp</t>
  </si>
  <si>
    <t>450-549 hp</t>
  </si>
  <si>
    <t>Size</t>
  </si>
  <si>
    <t>John Deere</t>
  </si>
  <si>
    <t>Optimal Life (years)</t>
  </si>
  <si>
    <t>Tracked</t>
  </si>
  <si>
    <t>Sprayers</t>
  </si>
  <si>
    <t>Harvesting Grain</t>
  </si>
  <si>
    <t>Harvesting Hay</t>
  </si>
  <si>
    <t>Soil Preparation</t>
  </si>
  <si>
    <t>Miscellaneous</t>
  </si>
  <si>
    <t>120+ hp</t>
  </si>
  <si>
    <t>550+ hp</t>
  </si>
  <si>
    <t>100-159 hp</t>
  </si>
  <si>
    <t>225+ hp</t>
  </si>
  <si>
    <t>800-899 hp</t>
  </si>
  <si>
    <t>Rental Rate                     ($/acre)</t>
  </si>
  <si>
    <t>Seeding</t>
  </si>
  <si>
    <t>300-359 hp</t>
  </si>
  <si>
    <t>360-449 hp</t>
  </si>
  <si>
    <t>S650</t>
  </si>
  <si>
    <t>CR6.90</t>
  </si>
  <si>
    <t>S760</t>
  </si>
  <si>
    <t>CR7.90</t>
  </si>
  <si>
    <t>S770</t>
  </si>
  <si>
    <t>CR8.90</t>
  </si>
  <si>
    <t>S780</t>
  </si>
  <si>
    <t>CR9.90</t>
  </si>
  <si>
    <t>S790</t>
  </si>
  <si>
    <t>n/a</t>
  </si>
  <si>
    <t>160-224 hp</t>
  </si>
  <si>
    <t>400-599 hp</t>
  </si>
  <si>
    <t>600-799 hp</t>
  </si>
  <si>
    <t>Margin on Labour &amp; Fuel
($/hr)</t>
  </si>
  <si>
    <t>Power Unit Cost
($/hr)</t>
  </si>
  <si>
    <t>Ownership Cost
($/hr)</t>
  </si>
  <si>
    <t>Margin on Ownership and R&amp;M
($/hr)</t>
  </si>
  <si>
    <t>Labour Cost
($/hr)</t>
  </si>
  <si>
    <t>Repair
&amp; Maint.
(R&amp;M)
Cost
($/hr)</t>
  </si>
  <si>
    <t>500-1,000 bu</t>
  </si>
  <si>
    <t>1,050-1,600 bu</t>
  </si>
  <si>
    <t>2,000 bu</t>
  </si>
  <si>
    <t>2,400-5,000 bu/hr</t>
  </si>
  <si>
    <t>6,000-10,000 bu/hr</t>
  </si>
  <si>
    <t>Rounded Ave Discountd MSRP</t>
  </si>
  <si>
    <t>≤ 300 hp</t>
  </si>
  <si>
    <t>301-360 hp</t>
  </si>
  <si>
    <t>361-420 hp</t>
  </si>
  <si>
    <t>421-500 hp</t>
  </si>
  <si>
    <t>501-560 hp</t>
  </si>
  <si>
    <t>12 ft</t>
  </si>
  <si>
    <t>15 ft</t>
  </si>
  <si>
    <t>20-25 ft</t>
  </si>
  <si>
    <t>30-35 ft</t>
  </si>
  <si>
    <t>20 ft</t>
  </si>
  <si>
    <t>25 ft</t>
  </si>
  <si>
    <t>30 ft</t>
  </si>
  <si>
    <t>35 ft</t>
  </si>
  <si>
    <t>40-45 ft</t>
  </si>
  <si>
    <t>6 row
30" spacing</t>
  </si>
  <si>
    <t>8 row
30" spacing</t>
  </si>
  <si>
    <t>12 row
30" spacing</t>
  </si>
  <si>
    <t>16-18 row
20-30" spacing</t>
  </si>
  <si>
    <t>18-22 ft</t>
  </si>
  <si>
    <t>35-40 ft</t>
  </si>
  <si>
    <t>8" 30-39 ft,
20 hp engine</t>
  </si>
  <si>
    <t>8" 40-49 ft,
20 hp engine</t>
  </si>
  <si>
    <t>8" 50-59 ft,
25 hp engine</t>
  </si>
  <si>
    <t>10" 40-49 ft, 
35 hp engine</t>
  </si>
  <si>
    <t>10" 50-59 ft, 
38 hp engine</t>
  </si>
  <si>
    <t>12-13" 39-40 ft, 
38-50 hp engine</t>
  </si>
  <si>
    <t>8" 30-69 ft
2,700-3,200 bu/hr</t>
  </si>
  <si>
    <t>10" 40-89 ft
5,400 bu/hr</t>
  </si>
  <si>
    <t>12" 70+ ft
8,400 bu/hr</t>
  </si>
  <si>
    <t>13" 70-100 ft
9,700 bu/hr</t>
  </si>
  <si>
    <t>16" 80+ ft
21,000 bu/hr</t>
  </si>
  <si>
    <t>12-17 ft</t>
  </si>
  <si>
    <t>14-20 ft</t>
  </si>
  <si>
    <t>21-30 ft</t>
  </si>
  <si>
    <t>13-19 ft</t>
  </si>
  <si>
    <t>14-18 ft</t>
  </si>
  <si>
    <t>7-9 ft side pull</t>
  </si>
  <si>
    <t>14 ft</t>
  </si>
  <si>
    <t>16-18 ft</t>
  </si>
  <si>
    <t>9-10 ft</t>
  </si>
  <si>
    <t>11-13 ft</t>
  </si>
  <si>
    <t>14-16 ft</t>
  </si>
  <si>
    <t>4x4 ft bale</t>
  </si>
  <si>
    <t>4x5 ft bale</t>
  </si>
  <si>
    <t>4x6 ft bale</t>
  </si>
  <si>
    <t>5x5 ft bale</t>
  </si>
  <si>
    <t>5x6 ft bale</t>
  </si>
  <si>
    <t>14x18x52" bale</t>
  </si>
  <si>
    <t>16x18x52" bale</t>
  </si>
  <si>
    <t>35x31x108" bale</t>
  </si>
  <si>
    <t>35x47x108" bale</t>
  </si>
  <si>
    <t>50x47x108" bale</t>
  </si>
  <si>
    <t>7-12 bale</t>
  </si>
  <si>
    <t>12-18 bale</t>
  </si>
  <si>
    <t>4-6 bale</t>
  </si>
  <si>
    <t>13-20 bale</t>
  </si>
  <si>
    <t>25-45 ft</t>
  </si>
  <si>
    <t>46-65 ft</t>
  </si>
  <si>
    <t>66-86 ft</t>
  </si>
  <si>
    <t>27-50 ft</t>
  </si>
  <si>
    <t>51-72 ft</t>
  </si>
  <si>
    <t>30-49 ft</t>
  </si>
  <si>
    <t>50-70 ft</t>
  </si>
  <si>
    <t>25-40 ft</t>
  </si>
  <si>
    <t>41-59 ft</t>
  </si>
  <si>
    <t>60-70 ft</t>
  </si>
  <si>
    <t>24-35 ft</t>
  </si>
  <si>
    <t>36-49 ft</t>
  </si>
  <si>
    <t>50-62 ft</t>
  </si>
  <si>
    <t>23-40 ft</t>
  </si>
  <si>
    <t>41-50 ft</t>
  </si>
  <si>
    <t>51-62 ft</t>
  </si>
  <si>
    <t>50-90 ft</t>
  </si>
  <si>
    <t>40-84 ft</t>
  </si>
  <si>
    <t>25-62 ft</t>
  </si>
  <si>
    <t>10-30 ft</t>
  </si>
  <si>
    <t>31-50 ft</t>
  </si>
  <si>
    <t>10-25 ft</t>
  </si>
  <si>
    <t>26-40 ft</t>
  </si>
  <si>
    <t>11-20 ft</t>
  </si>
  <si>
    <t>46-85 ft</t>
  </si>
  <si>
    <t>65-89 ft</t>
  </si>
  <si>
    <t>1,000 US gal</t>
  </si>
  <si>
    <t>1,200 US gal</t>
  </si>
  <si>
    <t>1,600 US gal</t>
  </si>
  <si>
    <t>3-point hitch mount</t>
  </si>
  <si>
    <t>Trailer mounted 
with engine</t>
  </si>
  <si>
    <t>Skid steer mounted</t>
  </si>
  <si>
    <t>280-360 cubic ft</t>
  </si>
  <si>
    <t>500-750 cubic ft</t>
  </si>
  <si>
    <t>830-1,150 cubic ft</t>
  </si>
  <si>
    <t>Two 6ft bale, 
40 bu grain</t>
  </si>
  <si>
    <t>360-440 cubic ft</t>
  </si>
  <si>
    <t>Two 6ft round bale</t>
  </si>
  <si>
    <t>Six 6ft round bale</t>
  </si>
  <si>
    <t>250-299 cubic ft</t>
  </si>
  <si>
    <t>300-399 cubic ft</t>
  </si>
  <si>
    <t>400-500 cubic ft</t>
  </si>
  <si>
    <t>500+ cubic ft</t>
  </si>
  <si>
    <t>250-300 cubic ft</t>
  </si>
  <si>
    <t>Category</t>
  </si>
  <si>
    <t>Small (100-159 hp)</t>
  </si>
  <si>
    <t>Medium (160-224 hp)</t>
  </si>
  <si>
    <t>Large (225+ hp)</t>
  </si>
  <si>
    <t>Small (350-449 hp)</t>
  </si>
  <si>
    <t xml:space="preserve">Medium (450-549 hp) </t>
  </si>
  <si>
    <t>Large (550+ hp)</t>
  </si>
  <si>
    <t>Class 7 (361-420 hp)</t>
  </si>
  <si>
    <t>Class 6 (301-360 hp)</t>
  </si>
  <si>
    <t>Class 5 (less than 300 hp)</t>
  </si>
  <si>
    <t>Class 8 (421-500 hp)</t>
  </si>
  <si>
    <t>Class 9 (501-560 hp)</t>
  </si>
  <si>
    <t>Class 10 (561+ hp)</t>
  </si>
  <si>
    <t>Rigid (20-25 ft)</t>
  </si>
  <si>
    <t>Pickup (12 ft)</t>
  </si>
  <si>
    <t>Pickup (15 ft)</t>
  </si>
  <si>
    <t>Rigid (30-35 ft)</t>
  </si>
  <si>
    <t>Flex (20 ft)</t>
  </si>
  <si>
    <t>Flex (25 ft)</t>
  </si>
  <si>
    <t>Flex (30 ft)</t>
  </si>
  <si>
    <t>Flex (35 ft)</t>
  </si>
  <si>
    <t>Draper (25 ft)</t>
  </si>
  <si>
    <t>Draper (30 ft)</t>
  </si>
  <si>
    <t>Draper (35 ft)</t>
  </si>
  <si>
    <t>Draper (40-45 ft)</t>
  </si>
  <si>
    <t>Corn (6 row, 30" spacing)</t>
  </si>
  <si>
    <t>Corn (8 row, 30" spacing)</t>
  </si>
  <si>
    <t>Corn (12 row, 30" spacing)</t>
  </si>
  <si>
    <t>Corn (16 to 18 row, 20-30" spacing)</t>
  </si>
  <si>
    <t>Small (500-1,000 bu, requires 210 hp)</t>
  </si>
  <si>
    <t>Medium (1,050-1,600 bu, requires 300 hp)</t>
  </si>
  <si>
    <t>Large (2,000 bu, requires 460 hp)</t>
  </si>
  <si>
    <t>8 in. (40-49 ft, 20 hp engine)</t>
  </si>
  <si>
    <t>8 in. (30-39 ft, 20 hp engine)</t>
  </si>
  <si>
    <t>8 in. (50-59 ft, 25 hp engine)</t>
  </si>
  <si>
    <t>10 in. (40-49 FT, 35 hp engine)</t>
  </si>
  <si>
    <t>10 in. (50-59 FT, 38 hp engine)</t>
  </si>
  <si>
    <t>12-13 in. (39-40 FT, 38-50 hp diesel engine)</t>
  </si>
  <si>
    <t>8 in. (30-69 ft, 2,700-3,200 bu/hr, requires 50 hp)</t>
  </si>
  <si>
    <t>10 in. (40-89 ft, 5,400 bu/hr, requires 75 hp)</t>
  </si>
  <si>
    <t>12 in. (70+ ft, 8,400 bu/hr, requires 75 hp)</t>
  </si>
  <si>
    <t>13 in. (70-120 ft, 9,700 bu/hr, requires 100 hp)</t>
  </si>
  <si>
    <t>16 in. (80+ ft, 21,000 bu/hr, requires 200 hp)</t>
  </si>
  <si>
    <t>2,400-5,000 bu/hr (requires 70 hp)</t>
  </si>
  <si>
    <t>6,000-10,000 bu/hr (requires 120 hp)</t>
  </si>
  <si>
    <t>Small (400-599 hp)</t>
  </si>
  <si>
    <t>Medium (600-799 hp)</t>
  </si>
  <si>
    <t>Large (800-899 hp)</t>
  </si>
  <si>
    <t>Windrow Pickup (12-17 ft width)</t>
  </si>
  <si>
    <t>Corn (14-20 ft width)</t>
  </si>
  <si>
    <t>Corn (21-30 ft width)</t>
  </si>
  <si>
    <t>Disc Mower Conditioner (13-19 ft)</t>
  </si>
  <si>
    <t>Disc Mower Conditioner (30 ft)</t>
  </si>
  <si>
    <t>Sickle Mower Conditioner (14-18 ft)</t>
  </si>
  <si>
    <t xml:space="preserve">Sickle (7-9 ft, requires 50 hp) </t>
  </si>
  <si>
    <t xml:space="preserve">Sickle (14 ft, requires 80 hp) </t>
  </si>
  <si>
    <t xml:space="preserve">Sickle (16-18 ft, requires 100 hp) </t>
  </si>
  <si>
    <t xml:space="preserve">Disc (9-10 ft, requires 60 hp) </t>
  </si>
  <si>
    <t xml:space="preserve">Disc (11-13 ft, requires 90 hp) </t>
  </si>
  <si>
    <t xml:space="preserve">Disc (14-16 ft, requires 100 hp) </t>
  </si>
  <si>
    <t>4x4 ft bales (requires 50 hp)</t>
  </si>
  <si>
    <t>4x5 ft bales (requires 60 hp)</t>
  </si>
  <si>
    <t>4x6 ft bales (requires 70 hp)</t>
  </si>
  <si>
    <t>5x5 ft bales (requires 70 hp)</t>
  </si>
  <si>
    <t>5x6 ft bales (requires 80 hp)</t>
  </si>
  <si>
    <t>Small, 35x31x108 in. (requires 145 hp)</t>
  </si>
  <si>
    <t>Medium, 35x47x108 in. (requires 145 hp)</t>
  </si>
  <si>
    <t>Large, 50x47x108 in. (requires 180 hp)</t>
  </si>
  <si>
    <t>14x18x52 in. bales (requires 50 hp)</t>
  </si>
  <si>
    <t>16x18x52 in. bales (requires 50 hp)</t>
  </si>
  <si>
    <t>Round Bale 7-12 bale (requires 120 hp)</t>
  </si>
  <si>
    <t>Round Bale 12-18 bale (requires 180 hp)</t>
  </si>
  <si>
    <t>Large Square 4-6 bale (requires 120 hp)</t>
  </si>
  <si>
    <t>Large Square 6-12 bale (requires 180 hp)</t>
  </si>
  <si>
    <t>Large Square 12-20 bale (requires 220 hp)</t>
  </si>
  <si>
    <t>Small, 25-45 ft (requires 300 hp)</t>
  </si>
  <si>
    <t>Medium, 46-65 ft (requires 400 hp)</t>
  </si>
  <si>
    <t>Large, 66-86 ft (requires 525+ hp)</t>
  </si>
  <si>
    <t>Large, 51-72 ft (requires 450+ hp)</t>
  </si>
  <si>
    <t>Small, 27-50 ft (requires 350 hp)</t>
  </si>
  <si>
    <t>Small, 30-49 ft (requires 200 hp)</t>
  </si>
  <si>
    <t>Large, 50-70 ft (requires 300+ hp)</t>
  </si>
  <si>
    <t>Small, 25-40 ft (requires 275 hp)</t>
  </si>
  <si>
    <t>Medium, 41-59 ft (requires 400 hp)</t>
  </si>
  <si>
    <t>Large, 60-70 ft (requires 450+ hp)</t>
  </si>
  <si>
    <t>12 row planter (requires 150 hp)</t>
  </si>
  <si>
    <t>16 row planter (requires 180 hp)</t>
  </si>
  <si>
    <t>24 row planter (requires 230 hp)</t>
  </si>
  <si>
    <t>12/24 split row planter (requires 210 hp)</t>
  </si>
  <si>
    <t>16/32 split row planter (requires 250 hp)</t>
  </si>
  <si>
    <t>Small, 24-35 ft (requires 160 hp)</t>
  </si>
  <si>
    <t>Medium, 36-49 ft (requires 185 hp)</t>
  </si>
  <si>
    <t>Large, 50-62 ft (requires 220 hp)</t>
  </si>
  <si>
    <t>Small, 23-40 ft (requires 230 hp)</t>
  </si>
  <si>
    <t>Medium, 41-50 ft (requires 315 hp)</t>
  </si>
  <si>
    <t>Large, 51-62 ft (requires 385 hp)</t>
  </si>
  <si>
    <t>50-90 ft (requires 225 hp)</t>
  </si>
  <si>
    <t>40-84 ft (requires 375 hp)</t>
  </si>
  <si>
    <t>25-62 ft (requires 175 hp)</t>
  </si>
  <si>
    <t>Small, 10-30 ft (requires 225+ hp)</t>
  </si>
  <si>
    <t>Small, 10-25 ft (requires 225+ hp)</t>
  </si>
  <si>
    <t>Large, 26-40 ft (requires 500 hp)</t>
  </si>
  <si>
    <t>Large, 31-50 ft (requires 500 hp)</t>
  </si>
  <si>
    <t>11-20 ft fixed or 3 PT (requires 50 hp)</t>
  </si>
  <si>
    <t>46-85 ft (5 roller sections) (requires 200 hp)</t>
  </si>
  <si>
    <t>65-89 ft (7 roller sections) (requires 240 hp)</t>
  </si>
  <si>
    <t>3PT hitch (requires 55 hp)</t>
  </si>
  <si>
    <t>Trailer mounted with engine</t>
  </si>
  <si>
    <t>Skidsteer Mount (requires 55 hp)</t>
  </si>
  <si>
    <t>280-360 cubic  ft (requires 110 hp)</t>
  </si>
  <si>
    <t>500-750 cubic  ft (requires 135 hp)</t>
  </si>
  <si>
    <t>830-1,150 cubic  ft (requires 150 hp)</t>
  </si>
  <si>
    <t>360-440 cubic  ft (requires 120 hp)</t>
  </si>
  <si>
    <t>550-750 cubic  ft (requires 200 hp)</t>
  </si>
  <si>
    <t>Two 6 ft bale, 40 bu grain (requires 100 hp)</t>
  </si>
  <si>
    <t>Two 6 ft round bale (requires 155 hp)</t>
  </si>
  <si>
    <t>Six  6 ft round bale (requires 175 hp)</t>
  </si>
  <si>
    <t>250-299 cubic ft level, chain unload (requires 120 hp)</t>
  </si>
  <si>
    <t>300-399 cubic ft level, chain unload (requires 125 hp)</t>
  </si>
  <si>
    <t>400-500 cubic ft level, chain unload (requires 150 hp)</t>
  </si>
  <si>
    <t>300-399 cubic ft level, side discharge (requires 150 hp)</t>
  </si>
  <si>
    <t>400-500 cubic ft level, side discharge (requires 180 hp)</t>
  </si>
  <si>
    <t>500+  cubic ft level, side discharge (requires 200 hp)</t>
  </si>
  <si>
    <t>250-300 cubic ft, hyd. push, vert. beaters (requires 120 hp)</t>
  </si>
  <si>
    <t>400-500 cubic ft, hyd. push, vert. beaters (requires 150 hp)</t>
  </si>
  <si>
    <t>Harvesting_Grain</t>
  </si>
  <si>
    <t>Harvesting_Hay</t>
  </si>
  <si>
    <t>Soil_Preparation</t>
  </si>
  <si>
    <t>Two_Wheel_Drive</t>
  </si>
  <si>
    <t>Four_Wheel_Drive</t>
  </si>
  <si>
    <t>Front_Wheel_Assist</t>
  </si>
  <si>
    <t>Rotary_Combine</t>
  </si>
  <si>
    <t>Combine_Header</t>
  </si>
  <si>
    <t>Grain_Cart</t>
  </si>
  <si>
    <t>Powered_Auger</t>
  </si>
  <si>
    <t>PTO_Grain_Auger</t>
  </si>
  <si>
    <t>Grain_Vac</t>
  </si>
  <si>
    <t>SP_Forage_Harvester_Header</t>
  </si>
  <si>
    <t>Air_Drills_with_Independent_Opener</t>
  </si>
  <si>
    <t>Air_Hoe_Drill</t>
  </si>
  <si>
    <t>Air_Disc_Drill</t>
  </si>
  <si>
    <t>Air_Seeder</t>
  </si>
  <si>
    <t>Row_Crop_Planter</t>
  </si>
  <si>
    <t>Harrow_Mid</t>
  </si>
  <si>
    <t>Harrow_Heavy</t>
  </si>
  <si>
    <t>Harrow_Packer</t>
  </si>
  <si>
    <t>Land_Roller</t>
  </si>
  <si>
    <t>Land_Scraper</t>
  </si>
  <si>
    <t>High_Clearance_Sprayer</t>
  </si>
  <si>
    <t>Post_Pounder</t>
  </si>
  <si>
    <t>Vertical_Feed_Mixer</t>
  </si>
  <si>
    <t>Grinder_Mixer</t>
  </si>
  <si>
    <t>Feed_Mixer</t>
  </si>
  <si>
    <t>Bale_Processor</t>
  </si>
  <si>
    <t>Implement #1</t>
  </si>
  <si>
    <t>Implement #2</t>
  </si>
  <si>
    <t>Implement #3</t>
  </si>
  <si>
    <t>Retained value at end of optimal life</t>
  </si>
  <si>
    <t>Optimal life for equipment</t>
  </si>
  <si>
    <t>years</t>
  </si>
  <si>
    <t>Annual hours of usage</t>
  </si>
  <si>
    <t>hours</t>
  </si>
  <si>
    <t>Speed</t>
  </si>
  <si>
    <t>mph</t>
  </si>
  <si>
    <t>Field efficiency</t>
  </si>
  <si>
    <t>/hr</t>
  </si>
  <si>
    <t>Margin on ownership and R&amp;M</t>
  </si>
  <si>
    <t>Margin on fuel and labour</t>
  </si>
  <si>
    <t>Costs of Individual Implements</t>
  </si>
  <si>
    <t>Rental Rate Costs</t>
  </si>
  <si>
    <t>Repair and maintenance</t>
  </si>
  <si>
    <t>Total hourly rental rate</t>
  </si>
  <si>
    <t>Total rental rate</t>
  </si>
  <si>
    <t>Custom Rate Costs</t>
  </si>
  <si>
    <t>Fuel</t>
  </si>
  <si>
    <t xml:space="preserve">Labour </t>
  </si>
  <si>
    <t>Total hourly custom rate</t>
  </si>
  <si>
    <t>Total custom rate</t>
  </si>
  <si>
    <t xml:space="preserve">Total Cost of All Implements (Implement #1 + #2 + #3) </t>
  </si>
  <si>
    <t>Total ownership</t>
  </si>
  <si>
    <t>Total repair and maintenance</t>
  </si>
  <si>
    <t>Total margin on ownership and R&amp;M</t>
  </si>
  <si>
    <t>Total Custom Rate Costs</t>
  </si>
  <si>
    <t>Total fuel</t>
  </si>
  <si>
    <t xml:space="preserve">Total Labour </t>
  </si>
  <si>
    <t>Total margin on fuel and labour</t>
  </si>
  <si>
    <t>Self_propelled_Swather</t>
  </si>
  <si>
    <t>Self_propelled_Forage_Harvester</t>
  </si>
  <si>
    <t>Self_propelled_Bale_Mover</t>
  </si>
  <si>
    <t>Self_propelled Small Square Bale Wagon</t>
  </si>
  <si>
    <t>Self_propelled_Mower_Conditioner</t>
  </si>
  <si>
    <t>Pull_Type_Mower_Conditioner</t>
  </si>
  <si>
    <t>Vertical_Tillage_Tools_Compact</t>
  </si>
  <si>
    <t>Baler_Large_Round</t>
  </si>
  <si>
    <t>Baler_Large_Square</t>
  </si>
  <si>
    <t>Baler_Small_Square</t>
  </si>
  <si>
    <t>Pull_Type_Bale_Mover_Self_load_unload</t>
  </si>
  <si>
    <t>Cultivator_Field_with_tine_harrows</t>
  </si>
  <si>
    <t>Cultivator_Heavy_Duty_with_tine_harrows</t>
  </si>
  <si>
    <t>Manure_Spreader_solid</t>
  </si>
  <si>
    <t>Type</t>
  </si>
  <si>
    <t>Main</t>
  </si>
  <si>
    <t>&lt;$10,000 round to nearest 500</t>
  </si>
  <si>
    <t>Average New Selling Price</t>
  </si>
  <si>
    <t>Dealer/Model 1</t>
  </si>
  <si>
    <t>Dealer/Model 2</t>
  </si>
  <si>
    <t>Dealer/Model 3</t>
  </si>
  <si>
    <t>Make</t>
  </si>
  <si>
    <t xml:space="preserve">Model </t>
  </si>
  <si>
    <t>MSRP</t>
  </si>
  <si>
    <t>Discounted MSRP</t>
  </si>
  <si>
    <t>New Selling Price</t>
  </si>
  <si>
    <t>6110R Cab</t>
  </si>
  <si>
    <t>Case IH</t>
  </si>
  <si>
    <t>Farmall 110A</t>
  </si>
  <si>
    <t>5115M Cab</t>
  </si>
  <si>
    <t>6145R</t>
  </si>
  <si>
    <t>Farmall 130A</t>
  </si>
  <si>
    <t>5125M</t>
  </si>
  <si>
    <t>6155R</t>
  </si>
  <si>
    <t>Maxxum 150 CVX</t>
  </si>
  <si>
    <t>New Holland</t>
  </si>
  <si>
    <t>T7.190</t>
  </si>
  <si>
    <t>7210R</t>
  </si>
  <si>
    <t>Magnum 220</t>
  </si>
  <si>
    <t>T7.210 T4B</t>
  </si>
  <si>
    <t>8320R</t>
  </si>
  <si>
    <t>Magnum 310</t>
  </si>
  <si>
    <t>T7.315</t>
  </si>
  <si>
    <t>9370R</t>
  </si>
  <si>
    <t>Steiger 370</t>
  </si>
  <si>
    <t>T8.380</t>
  </si>
  <si>
    <t>9470R</t>
  </si>
  <si>
    <t>Steiger 470</t>
  </si>
  <si>
    <t>T9.480HD</t>
  </si>
  <si>
    <t>9570R</t>
  </si>
  <si>
    <t>Steiger 580</t>
  </si>
  <si>
    <t>T9.565HD</t>
  </si>
  <si>
    <t>8320RT</t>
  </si>
  <si>
    <t>Magnum 310 Rowtrac</t>
  </si>
  <si>
    <t>8345RT</t>
  </si>
  <si>
    <t>8370RT</t>
  </si>
  <si>
    <t>Steiger 420 Rowtrac</t>
  </si>
  <si>
    <t>T8.410 SmartTrax</t>
  </si>
  <si>
    <t>9470RT</t>
  </si>
  <si>
    <t>Steiger 470 Rowtrac</t>
  </si>
  <si>
    <t>T9.530 SmartTrax</t>
  </si>
  <si>
    <t>9570RT</t>
  </si>
  <si>
    <t>Steiger 580 Quadtrac</t>
  </si>
  <si>
    <t>T9.565 SmartTrax</t>
  </si>
  <si>
    <t>9620RX</t>
  </si>
  <si>
    <t>Steiger 620 Quadtrac</t>
  </si>
  <si>
    <t>T9.645 SmartTrax</t>
  </si>
  <si>
    <t>Claas</t>
  </si>
  <si>
    <t>CR10.90Z</t>
  </si>
  <si>
    <t>790CP-12</t>
  </si>
  <si>
    <t>3016-12</t>
  </si>
  <si>
    <t>615P</t>
  </si>
  <si>
    <t>3016-15</t>
  </si>
  <si>
    <t>790CP-15</t>
  </si>
  <si>
    <t>720CG-24</t>
  </si>
  <si>
    <t>2030-24</t>
  </si>
  <si>
    <t>840CD-25</t>
  </si>
  <si>
    <t>720CG-30</t>
  </si>
  <si>
    <t>2030-30</t>
  </si>
  <si>
    <t>840CD-35</t>
  </si>
  <si>
    <t>620F</t>
  </si>
  <si>
    <t>740CF-20F</t>
  </si>
  <si>
    <t>AGCO Gleaner</t>
  </si>
  <si>
    <t>8200-20</t>
  </si>
  <si>
    <t>625F</t>
  </si>
  <si>
    <t>740CF-25F</t>
  </si>
  <si>
    <t>8200-25</t>
  </si>
  <si>
    <t>630F</t>
  </si>
  <si>
    <t>740CF-30F</t>
  </si>
  <si>
    <t>8200-30</t>
  </si>
  <si>
    <t>635F</t>
  </si>
  <si>
    <t>740CF-35F</t>
  </si>
  <si>
    <t>8200-35</t>
  </si>
  <si>
    <t>725D</t>
  </si>
  <si>
    <t>3152-25</t>
  </si>
  <si>
    <t>9255-25</t>
  </si>
  <si>
    <t>730D</t>
  </si>
  <si>
    <t>3152-30</t>
  </si>
  <si>
    <t>9255-30</t>
  </si>
  <si>
    <t>735D</t>
  </si>
  <si>
    <t>3152-35</t>
  </si>
  <si>
    <t>9255-35</t>
  </si>
  <si>
    <t>740D</t>
  </si>
  <si>
    <t>3152-40</t>
  </si>
  <si>
    <t>9255-40</t>
  </si>
  <si>
    <t>706C</t>
  </si>
  <si>
    <t>980CR-6R</t>
  </si>
  <si>
    <t>708C</t>
  </si>
  <si>
    <t>980CR-8R</t>
  </si>
  <si>
    <t>712C</t>
  </si>
  <si>
    <t>980CR-12R</t>
  </si>
  <si>
    <t>716C</t>
  </si>
  <si>
    <t>718C</t>
  </si>
  <si>
    <t>980CR-16R</t>
  </si>
  <si>
    <t>W155 unit with JD 420D header</t>
  </si>
  <si>
    <t>W155-260 unit wth JD 525D header</t>
  </si>
  <si>
    <t>WD1504-WD 2504 with DH253 header</t>
  </si>
  <si>
    <t>speedrow 160-260 with 425 HB header</t>
  </si>
  <si>
    <t>Massey Ferguson</t>
  </si>
  <si>
    <t>WR990 30'</t>
  </si>
  <si>
    <t xml:space="preserve">W155-260 unit with 530D header </t>
  </si>
  <si>
    <t xml:space="preserve">Case IH </t>
  </si>
  <si>
    <t>WD1504-WD2504 with DH 303 header</t>
  </si>
  <si>
    <t>WR9950 35"</t>
  </si>
  <si>
    <t>WR9950 40'</t>
  </si>
  <si>
    <t>W155-266 unit with 536D-440D header</t>
  </si>
  <si>
    <t>J&amp;M</t>
  </si>
  <si>
    <t>812-18S</t>
  </si>
  <si>
    <t>1122-20S</t>
  </si>
  <si>
    <t xml:space="preserve">Elmers </t>
  </si>
  <si>
    <t xml:space="preserve">1150 Track </t>
  </si>
  <si>
    <t>Elmers</t>
  </si>
  <si>
    <t>RH Haul Master 1300 tracked</t>
  </si>
  <si>
    <t>2000 tracks</t>
  </si>
  <si>
    <t>2000 Tracked unit</t>
  </si>
  <si>
    <t>Meridian</t>
  </si>
  <si>
    <t>HD 8-39 Kohler 23 HP</t>
  </si>
  <si>
    <t>Wheatheart</t>
  </si>
  <si>
    <t>XTA 8x41 Kohler 27 hp engine</t>
  </si>
  <si>
    <t>HD8-39 powered</t>
  </si>
  <si>
    <t>XTA 8x61 Kohler 27 hp engine</t>
  </si>
  <si>
    <t>HD10-46 powered</t>
  </si>
  <si>
    <t xml:space="preserve">Westfield </t>
  </si>
  <si>
    <t>STX2 100-41 powered</t>
  </si>
  <si>
    <t xml:space="preserve">Meridian </t>
  </si>
  <si>
    <t>FE HD 10-46 Vanguard 37HP efi engine</t>
  </si>
  <si>
    <t>HD 10-53 powered</t>
  </si>
  <si>
    <t>STX2 100-51 powered</t>
  </si>
  <si>
    <t>HD 10-53 Vanguard 37 hp engine</t>
  </si>
  <si>
    <t>Brandt</t>
  </si>
  <si>
    <t>1340 Model Auger with 48-50HP Diesel motor with mover</t>
  </si>
  <si>
    <t>Westfield</t>
  </si>
  <si>
    <t>BD PTO WR 80x51</t>
  </si>
  <si>
    <t>Farmking</t>
  </si>
  <si>
    <t>Y10-70 swing</t>
  </si>
  <si>
    <t>MKX 100-73 swing</t>
  </si>
  <si>
    <t xml:space="preserve">Farmking </t>
  </si>
  <si>
    <t>Y1070 TMMR</t>
  </si>
  <si>
    <t>Y1395TS</t>
  </si>
  <si>
    <t>FarmKing</t>
  </si>
  <si>
    <t>Y13-85 TMMR</t>
  </si>
  <si>
    <t xml:space="preserve">13-95 TMMR </t>
  </si>
  <si>
    <t>MKX 130-114 swing</t>
  </si>
  <si>
    <t>X13-94</t>
  </si>
  <si>
    <t>1370 swing auger 13" 70-79ft</t>
  </si>
  <si>
    <t>Y16-104</t>
  </si>
  <si>
    <t>MKX-160-105</t>
  </si>
  <si>
    <t xml:space="preserve">Y16104 </t>
  </si>
  <si>
    <t>5200 EX</t>
  </si>
  <si>
    <t>Walinga</t>
  </si>
  <si>
    <t>6614 DLX Grain vac</t>
  </si>
  <si>
    <t xml:space="preserve">REM </t>
  </si>
  <si>
    <t>VR12</t>
  </si>
  <si>
    <t xml:space="preserve">1300HP </t>
  </si>
  <si>
    <t>VRX Grain Vac</t>
  </si>
  <si>
    <t>FR480</t>
  </si>
  <si>
    <t>FR650</t>
  </si>
  <si>
    <t>FR850</t>
  </si>
  <si>
    <t>Model 649/659</t>
  </si>
  <si>
    <t>380 HDY</t>
  </si>
  <si>
    <t>Class</t>
  </si>
  <si>
    <t>10'/12.6' PU</t>
  </si>
  <si>
    <t>676/ 696/778</t>
  </si>
  <si>
    <t>450FI/600FI</t>
  </si>
  <si>
    <t>Orbis 600</t>
  </si>
  <si>
    <t>690/770/772</t>
  </si>
  <si>
    <t>750FI/990FI</t>
  </si>
  <si>
    <t>Orbis 750/900</t>
  </si>
  <si>
    <t>W260</t>
  </si>
  <si>
    <t>WD2504</t>
  </si>
  <si>
    <t>Speedrower 260</t>
  </si>
  <si>
    <t>Krone</t>
  </si>
  <si>
    <t>Big M 420</t>
  </si>
  <si>
    <t>Big M 450</t>
  </si>
  <si>
    <t>WR9950</t>
  </si>
  <si>
    <t>H7220</t>
  </si>
  <si>
    <t>DC102</t>
  </si>
  <si>
    <t>630 Side-Pull</t>
  </si>
  <si>
    <t>Discbine 313</t>
  </si>
  <si>
    <t>DC133</t>
  </si>
  <si>
    <t xml:space="preserve">946 Mid-Pivot </t>
  </si>
  <si>
    <t>Discbine 316</t>
  </si>
  <si>
    <t>DC163</t>
  </si>
  <si>
    <t xml:space="preserve">956 Mid-Pivot </t>
  </si>
  <si>
    <t>Haybine 488</t>
  </si>
  <si>
    <t>Farm King</t>
  </si>
  <si>
    <t>RSB9</t>
  </si>
  <si>
    <t>HSX122</t>
  </si>
  <si>
    <t>H7150</t>
  </si>
  <si>
    <t>SC101-HDX142</t>
  </si>
  <si>
    <t>RB444</t>
  </si>
  <si>
    <t>Rollbelt 440</t>
  </si>
  <si>
    <t>440E</t>
  </si>
  <si>
    <t>RB455</t>
  </si>
  <si>
    <t>Rollbelt 450</t>
  </si>
  <si>
    <t>450E</t>
  </si>
  <si>
    <t>RB465</t>
  </si>
  <si>
    <t>Rollbelt 460</t>
  </si>
  <si>
    <t>460M</t>
  </si>
  <si>
    <t>Vermeer</t>
  </si>
  <si>
    <t>5520 Rebel</t>
  </si>
  <si>
    <t>Rollbelt 550</t>
  </si>
  <si>
    <t>550M</t>
  </si>
  <si>
    <t>RB565</t>
  </si>
  <si>
    <t>Rollbelt 560</t>
  </si>
  <si>
    <t>560M</t>
  </si>
  <si>
    <t>SB521</t>
  </si>
  <si>
    <t>BC5050</t>
  </si>
  <si>
    <t>SB551</t>
  </si>
  <si>
    <t>BC5080</t>
  </si>
  <si>
    <t>LB334XL</t>
  </si>
  <si>
    <t>Big Baler 330 Plus</t>
  </si>
  <si>
    <t>L331</t>
  </si>
  <si>
    <t>LB434XL</t>
  </si>
  <si>
    <t>Big Baler 340 Plus</t>
  </si>
  <si>
    <t>L341</t>
  </si>
  <si>
    <t>BP 4x4</t>
  </si>
  <si>
    <t>Morris</t>
  </si>
  <si>
    <t>Hayhiker 900</t>
  </si>
  <si>
    <t>Highline</t>
  </si>
  <si>
    <t>BM607</t>
  </si>
  <si>
    <t>Hayhiker 2200</t>
  </si>
  <si>
    <t>BM1400</t>
  </si>
  <si>
    <t>HD4SR</t>
  </si>
  <si>
    <t>12SR Plus</t>
  </si>
  <si>
    <t>FaStack 1200 Flex</t>
  </si>
  <si>
    <t>16K Plus</t>
  </si>
  <si>
    <t>4480XD</t>
  </si>
  <si>
    <t>FaStack 1800 Flex</t>
  </si>
  <si>
    <t>Stackcruiser 102</t>
  </si>
  <si>
    <t>Stackcruiser 103</t>
  </si>
  <si>
    <t>Stackcruiser 105</t>
  </si>
  <si>
    <t xml:space="preserve">Extrapolation </t>
  </si>
  <si>
    <t>10% increase 18/19 Price</t>
  </si>
  <si>
    <t>Various</t>
  </si>
  <si>
    <t>Bourgault</t>
  </si>
  <si>
    <t>3320 with 700 bu tank/dual shoot</t>
  </si>
  <si>
    <t>P2050 40' with P1050 380 bu air cart</t>
  </si>
  <si>
    <t xml:space="preserve">Bourgault </t>
  </si>
  <si>
    <t>5810 60ft with 700 bu tank/dual shoot</t>
  </si>
  <si>
    <t>P2050 58' with P1070 580 bu air cart</t>
  </si>
  <si>
    <t>P2080 40' with P1050 380 bu air cart</t>
  </si>
  <si>
    <t>3720 with 700 bu card/dual shoot</t>
  </si>
  <si>
    <t xml:space="preserve">P2080 60' with P1070 580 air cart </t>
  </si>
  <si>
    <t>various</t>
  </si>
  <si>
    <t xml:space="preserve">1775 Flex planter 12 row -30in </t>
  </si>
  <si>
    <t>1775NT Planter 16 row 30 in</t>
  </si>
  <si>
    <t xml:space="preserve">DB60 planter 24 row 30 </t>
  </si>
  <si>
    <t>Extrapolation using John Deere</t>
  </si>
  <si>
    <t>Adjust using price of 12/24 to estimate. 507897/2/12*12</t>
  </si>
  <si>
    <t>Adjust using price of 16/32 507897/2/12*16</t>
  </si>
  <si>
    <t>2230 LL 33 ft</t>
  </si>
  <si>
    <t>2230 LL 42 ft</t>
  </si>
  <si>
    <t>Summers</t>
  </si>
  <si>
    <t>60ft</t>
  </si>
  <si>
    <t>2230 LL 60 ft</t>
  </si>
  <si>
    <t>Sunlfower</t>
  </si>
  <si>
    <t>2530-33</t>
  </si>
  <si>
    <t>1104 54'</t>
  </si>
  <si>
    <t>9500 60'</t>
  </si>
  <si>
    <t>9500 70'</t>
  </si>
  <si>
    <t>9500-70 ft</t>
  </si>
  <si>
    <t>Super 7 70'</t>
  </si>
  <si>
    <t>Super 7 90'</t>
  </si>
  <si>
    <t>XR 770-90'</t>
  </si>
  <si>
    <t>Extrapolation</t>
  </si>
  <si>
    <t>Kongskilde</t>
  </si>
  <si>
    <t>9125 Vertical Tillage</t>
  </si>
  <si>
    <t xml:space="preserve">Viking </t>
  </si>
  <si>
    <t>Viking VT 28'</t>
  </si>
  <si>
    <t>Viking VT 37'</t>
  </si>
  <si>
    <t xml:space="preserve">Degelman </t>
  </si>
  <si>
    <t>Pro Till 20'</t>
  </si>
  <si>
    <t>HS8500 40"</t>
  </si>
  <si>
    <t xml:space="preserve">Lemkin </t>
  </si>
  <si>
    <t>Heliodor 40'</t>
  </si>
  <si>
    <t>Mandako</t>
  </si>
  <si>
    <t>20' folding transport</t>
  </si>
  <si>
    <t>20' trail land roller</t>
  </si>
  <si>
    <t xml:space="preserve">BW </t>
  </si>
  <si>
    <t>Riteway</t>
  </si>
  <si>
    <t>F5-62</t>
  </si>
  <si>
    <t>Ag Shield</t>
  </si>
  <si>
    <t>52 ft 3 section</t>
  </si>
  <si>
    <t>F3 52 ft 3 section</t>
  </si>
  <si>
    <t>F7-89</t>
  </si>
  <si>
    <t>Leon</t>
  </si>
  <si>
    <t>M1000</t>
  </si>
  <si>
    <t xml:space="preserve">Landoll </t>
  </si>
  <si>
    <t>AG11 Land Scraper</t>
  </si>
  <si>
    <t>Landoll</t>
  </si>
  <si>
    <t>SP.310F</t>
  </si>
  <si>
    <t>R4038</t>
  </si>
  <si>
    <t>Hagie STS10</t>
  </si>
  <si>
    <t>SP.345F
(1,200 addon)</t>
  </si>
  <si>
    <t>R4045</t>
  </si>
  <si>
    <t>Hagie STS12</t>
  </si>
  <si>
    <t>Trident 5550</t>
  </si>
  <si>
    <t>Miller</t>
  </si>
  <si>
    <t>Nitro6300
(1,400 add-on)</t>
  </si>
  <si>
    <t>Hagie STS14</t>
  </si>
  <si>
    <t>SP.400F 
(1,600 addon)</t>
  </si>
  <si>
    <t>Nitro6300
(1,600 add-on)</t>
  </si>
  <si>
    <t>Hagie STS16</t>
  </si>
  <si>
    <t xml:space="preserve">Kencove </t>
  </si>
  <si>
    <t>PD10</t>
  </si>
  <si>
    <t>Model 2400</t>
  </si>
  <si>
    <t xml:space="preserve">Wheatheart </t>
  </si>
  <si>
    <t>Renegade Trailer Mount with 13 HP engine</t>
  </si>
  <si>
    <t>KIWI</t>
  </si>
  <si>
    <t>Skid Steer</t>
  </si>
  <si>
    <t>Kencove</t>
  </si>
  <si>
    <t>PD100(H)SS</t>
  </si>
  <si>
    <t xml:space="preserve">Sheriff </t>
  </si>
  <si>
    <t>Lucknow</t>
  </si>
  <si>
    <t>Kuhn</t>
  </si>
  <si>
    <t>New Concept</t>
  </si>
  <si>
    <t>Bale King</t>
  </si>
  <si>
    <t>SP3714</t>
  </si>
  <si>
    <t>JD/Frontier</t>
  </si>
  <si>
    <t>MS1223</t>
  </si>
  <si>
    <t>155MBS</t>
  </si>
  <si>
    <t>SP3719</t>
  </si>
  <si>
    <t>MS1231</t>
  </si>
  <si>
    <t>185MBS</t>
  </si>
  <si>
    <t>SP3724</t>
  </si>
  <si>
    <t>MS1237</t>
  </si>
  <si>
    <t>195MBS</t>
  </si>
  <si>
    <t>VB3734</t>
  </si>
  <si>
    <t>MS2326</t>
  </si>
  <si>
    <t>Duratank 2600S</t>
  </si>
  <si>
    <t>VB3744</t>
  </si>
  <si>
    <t>MS2334</t>
  </si>
  <si>
    <t>Duratank 3400S</t>
  </si>
  <si>
    <t>VB3755</t>
  </si>
  <si>
    <t>MS2342</t>
  </si>
  <si>
    <t>HY3730</t>
  </si>
  <si>
    <t>MS1442</t>
  </si>
  <si>
    <t>Hydrabox 425V</t>
  </si>
  <si>
    <t>HY3744</t>
  </si>
  <si>
    <t>MS1455</t>
  </si>
  <si>
    <t>Hydrabox 550V</t>
  </si>
  <si>
    <t>&gt;$50,000; round nearest 5000</t>
  </si>
  <si>
    <t>$10,000-$50,000 round to nearest 1000</t>
  </si>
  <si>
    <t>Vertical_Tillage_Tools_Heavy_Duty</t>
  </si>
  <si>
    <t>1. Select category:</t>
  </si>
  <si>
    <t>2. Select farm equipment:</t>
  </si>
  <si>
    <t>3. Select equipment size:</t>
  </si>
  <si>
    <t>Annual Hours of Use</t>
  </si>
  <si>
    <t>Repair Rate (%)</t>
  </si>
  <si>
    <t>Fraction_dep_over_optimal_life</t>
  </si>
  <si>
    <t>Custom Rate                     ($/acre)</t>
  </si>
  <si>
    <t xml:space="preserve"> (acre/hr)</t>
  </si>
  <si>
    <t xml:space="preserve"> (bales/hr)</t>
  </si>
  <si>
    <t>Unit</t>
  </si>
  <si>
    <t>Work Rate</t>
  </si>
  <si>
    <t>Speed                     (MPH)</t>
  </si>
  <si>
    <t>Defined Width of Implement                     (ft)</t>
  </si>
  <si>
    <t>Depreciation over optimal life</t>
  </si>
  <si>
    <t>Implement width</t>
  </si>
  <si>
    <t>feet</t>
  </si>
  <si>
    <t xml:space="preserve">Equipment value </t>
  </si>
  <si>
    <t>Fuel used per hour</t>
  </si>
  <si>
    <t>/acre</t>
  </si>
  <si>
    <t>/bale</t>
  </si>
  <si>
    <t>Fuel Price (per litre)</t>
  </si>
  <si>
    <t>Interest Rate</t>
  </si>
  <si>
    <t>Labour rate (per hour)</t>
  </si>
  <si>
    <t>Field Efficiency Rate</t>
  </si>
  <si>
    <t>Opportunity Cost Rate</t>
  </si>
  <si>
    <t>Machinery Financed</t>
  </si>
  <si>
    <t>Loan Payback Period (years)</t>
  </si>
  <si>
    <t>Rental &amp; Custom Margin</t>
  </si>
  <si>
    <t>Opportunity Cost Period (years)</t>
  </si>
  <si>
    <t>Ownership (Depreciation)</t>
  </si>
  <si>
    <t>Ownership (Investment)</t>
  </si>
  <si>
    <t>Ownership (Insurance and Housing)</t>
  </si>
  <si>
    <t>Annual R&amp;M cost</t>
  </si>
  <si>
    <t>Annual repair and maintenance (R&amp;M) rate</t>
  </si>
  <si>
    <t>(Select Category)</t>
  </si>
  <si>
    <t>4. Purchasing Information</t>
  </si>
  <si>
    <t>5. Other</t>
  </si>
  <si>
    <t>6. Work Rate Information</t>
  </si>
  <si>
    <t>Litres</t>
  </si>
  <si>
    <t xml:space="preserve">                                         </t>
  </si>
  <si>
    <t>Total Rental Rate Costs</t>
  </si>
  <si>
    <t>****HIDE****</t>
  </si>
  <si>
    <t>v1.0</t>
  </si>
  <si>
    <t>***HIDE ROW***</t>
  </si>
  <si>
    <r>
      <t xml:space="preserve">*** Enter any changes to </t>
    </r>
    <r>
      <rPr>
        <b/>
        <sz val="10"/>
        <color rgb="FF0000FF"/>
        <rFont val="Arial"/>
        <family val="2"/>
      </rPr>
      <t>BLUE</t>
    </r>
    <r>
      <rPr>
        <b/>
        <sz val="10"/>
        <color theme="1"/>
        <rFont val="Arial"/>
        <family val="2"/>
      </rPr>
      <t xml:space="preserve"> values only ***</t>
    </r>
  </si>
  <si>
    <t>Machinery Information</t>
  </si>
  <si>
    <t>DO NOT DELETE</t>
  </si>
  <si>
    <t>work rate</t>
  </si>
  <si>
    <t>Important Instructions and Notes</t>
  </si>
  <si>
    <t>Calculator Intended Use</t>
  </si>
  <si>
    <t xml:space="preserve">This calculator has been established to provide approximate costs for renting equipment or obtaining custom-farming operations from another farmer. </t>
  </si>
  <si>
    <t>This calculator is not intended for establishing rates for individuals or companies that rent equipment or contract custom-farming operations as a business.</t>
  </si>
  <si>
    <t>The other use is when farmers share equipment and need to establish the value of the machinery and/or farming operation that is being contributed to each farm.</t>
  </si>
  <si>
    <t>Steps for Calculator Use</t>
  </si>
  <si>
    <t>This calculator allows users to calculate the costs associated with the combination of up to three pieces of farm equipment.</t>
  </si>
  <si>
    <t xml:space="preserve">If the piece of equipment in question is not listed, the user can still determine costs associated with that piece of equipment. </t>
  </si>
  <si>
    <t>Procedure</t>
  </si>
  <si>
    <t>1.     Prior to calculator use, ensure that macros have been enabled. Similarly, when saving this workbook save it as a macro-enabled file.</t>
  </si>
  <si>
    <t>Notes on calculation procedure</t>
  </si>
  <si>
    <t>If the user is uncertain of a tractor horsepower requirement for drawn or PTO equipment, if applicable, it will be shown in the "Select equipment size" drop down list.</t>
  </si>
  <si>
    <t>Caution</t>
  </si>
  <si>
    <t xml:space="preserve">of this spreadsheet to obtain better cost estimates for their particular situation. </t>
  </si>
  <si>
    <t>Tractor Category Footnotes</t>
  </si>
  <si>
    <t>Two-wheel drive tractors - based on PTO power rating</t>
  </si>
  <si>
    <t>Front wheel assist tractors - based on PTO power rating</t>
  </si>
  <si>
    <t>Four-wheel drive tractors - based on engine power rating</t>
  </si>
  <si>
    <t>Tracked tractors - based on engine power rating</t>
  </si>
  <si>
    <t>To convert net engine power to PTO, multiply by 0.88</t>
  </si>
  <si>
    <t>Harvesting Grain Category Footnotes</t>
  </si>
  <si>
    <t>Rotary combines - annual hours of usage is based on separator usage</t>
  </si>
  <si>
    <t>Self-propelled swathers - fuel efficiency based on 126 hp (18-22' swather), 126 hp (25' swather), 190 hp (30' swather), and 226 hp (35'+ swather)</t>
  </si>
  <si>
    <t>Harvesting Hay Category Footnotes</t>
  </si>
  <si>
    <t>Self-propelled mower/conditioners - fuel efficiency is based on 226 hp (16-19' disc), 400 hp (30' disc), and 190 hp (14-16' sickle)</t>
  </si>
  <si>
    <t xml:space="preserve">Balers - for the cost of twine add $0.27/bale for 4' diameter, $0.40/bale for 5' diameter and $0.76/bale for 6' diameter. Add $0.78/bale for large square and $0.05/bale for small square. For the cost of mesh add $1.25/bale. </t>
  </si>
  <si>
    <t>Bale mover - fuel efficiency based on 173 hp</t>
  </si>
  <si>
    <t>Seeding Category Footnotes</t>
  </si>
  <si>
    <t>Work rates may require adjustment for heavy straw conditions or high fertilizer rates</t>
  </si>
  <si>
    <t>All air drills have been priced with an appropriately sized air tank.</t>
  </si>
  <si>
    <t>Soil Preparation Category Footnotes</t>
  </si>
  <si>
    <t>No additional notes</t>
  </si>
  <si>
    <t>Sprayers Category Footnotes</t>
  </si>
  <si>
    <t>Cost of hauling water to the field is not included. The cost of hauling water can range from $0.26/acre to $1.74/acre depending on the rate of water application.</t>
  </si>
  <si>
    <t xml:space="preserve">These rates are not intended to be compared to commercial custom spraying rates. </t>
  </si>
  <si>
    <t>Fuel Efficiency Estimate</t>
  </si>
  <si>
    <t>In order to obtain an estimate for fuel consumption based on engine power, the following chart can be used:</t>
  </si>
  <si>
    <r>
      <t xml:space="preserve">To obtain information for any unlisted equipment, the user would follow the outlined procedure below for selecting any unrelated equipment, and then just change the values in </t>
    </r>
    <r>
      <rPr>
        <b/>
        <sz val="11"/>
        <color rgb="FF0000FF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to match their equipment.</t>
    </r>
  </si>
  <si>
    <t>Users should review the input values at the top of the page before proceeding to steps #1 to #6.</t>
  </si>
  <si>
    <r>
      <t xml:space="preserve">Users should press the Reset button if any changes have been made to the </t>
    </r>
    <r>
      <rPr>
        <b/>
        <sz val="11"/>
        <color rgb="FF0000FF"/>
        <rFont val="Calibri"/>
        <family val="2"/>
        <scheme val="minor"/>
      </rPr>
      <t>BLUE</t>
    </r>
    <r>
      <rPr>
        <b/>
        <sz val="11"/>
        <color theme="1"/>
        <rFont val="Calibri"/>
        <family val="2"/>
        <scheme val="minor"/>
      </rPr>
      <t xml:space="preserve"> input values in Steps #4 to #6 as important formulas may be lost and need to be reset before selecting different equipment.</t>
    </r>
  </si>
  <si>
    <t xml:space="preserve">2.     Select the equipment category  (#1) from the drop-down list(s) provided. </t>
  </si>
  <si>
    <t>3.     Select the type of farm equipment (#2) from the drop-down list(s) provided.</t>
  </si>
  <si>
    <t>4.     Select the appropriate size of the farm equipment (#3) from the drop-down list(s) provided. After this selection is made, the spreadsheet will populate itself with default values.</t>
  </si>
  <si>
    <r>
      <t xml:space="preserve">5.     If the default equipment cost values do not agree with your known values for the farm equipment (#4), enter in the known </t>
    </r>
    <r>
      <rPr>
        <b/>
        <sz val="11"/>
        <color rgb="FF0000FF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input values.</t>
    </r>
  </si>
  <si>
    <r>
      <t xml:space="preserve">6.     If the default equipment fuel useage litres per hour or Repair and Maintenance rate % do not agree with your known values for the farm equipment (#5), enter the known </t>
    </r>
    <r>
      <rPr>
        <b/>
        <sz val="11"/>
        <color rgb="FF0000FF"/>
        <rFont val="Calibri"/>
        <family val="2"/>
        <scheme val="minor"/>
      </rPr>
      <t xml:space="preserve">BLUE </t>
    </r>
    <r>
      <rPr>
        <sz val="11"/>
        <color theme="1"/>
        <rFont val="Calibri"/>
        <family val="2"/>
        <scheme val="minor"/>
      </rPr>
      <t>input values.</t>
    </r>
  </si>
  <si>
    <r>
      <t xml:space="preserve">7.     If the speed, width, or field efficiency of the implement is different from the default values, enter the known </t>
    </r>
    <r>
      <rPr>
        <b/>
        <sz val="11"/>
        <color rgb="FF0000FF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input values to calculate a new work rate. </t>
    </r>
  </si>
  <si>
    <t xml:space="preserve">         If the calculated work rate from the default or known input values is not accurate, enter a known work rate.</t>
  </si>
  <si>
    <t xml:space="preserve">8.     Scroll down the page to see the total costs of each implement as well as the combined costs of implements 1, 2, and 3. </t>
  </si>
  <si>
    <r>
      <t xml:space="preserve">Nearly every situation has particular circumstances and conditions that are unique. Individuals should recognize these circumstances and make appropriate adjustments in the "User-Defined" </t>
    </r>
    <r>
      <rPr>
        <b/>
        <sz val="11"/>
        <color rgb="FF0000FF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input values</t>
    </r>
  </si>
  <si>
    <t xml:space="preserve">If there are two or more different work rates, the calculator will calculate the largest work rate for implements 1, 2, and 3. </t>
  </si>
  <si>
    <t xml:space="preserve">This calculator is applicable for two different situations. One is to suggest an equitable price for both parties when one farmer either rents a piece of equipment from another farmer or hires the other to do  </t>
  </si>
  <si>
    <t xml:space="preserve">a farming operation (seeding, spraying, harvesting, etc.).  In this situation, the time of rented operation is usually relatively small in proportion to the use by the owner. </t>
  </si>
  <si>
    <t xml:space="preserve">Created by </t>
  </si>
  <si>
    <t xml:space="preserve">Hay_Rakes </t>
  </si>
  <si>
    <t>Hay_Rakes</t>
  </si>
  <si>
    <t>Small, 16-20 ft</t>
  </si>
  <si>
    <t>medium, 21-30 ft</t>
  </si>
  <si>
    <t>Large, 31-40 ft</t>
  </si>
  <si>
    <t>16-20ft</t>
  </si>
  <si>
    <t>21-30ft</t>
  </si>
  <si>
    <t>31-40ft</t>
  </si>
  <si>
    <t>Grain_Dryer</t>
  </si>
  <si>
    <t>275-370 bu/hr</t>
  </si>
  <si>
    <t>420-610 bu/hr</t>
  </si>
  <si>
    <t xml:space="preserve">710-910 bu/hr </t>
  </si>
  <si>
    <t>1060-1180 bu/hr</t>
  </si>
  <si>
    <t>1440-2380 bu/hr</t>
  </si>
  <si>
    <t>3000-4000 bu/hr</t>
  </si>
  <si>
    <t>January, 2022</t>
  </si>
  <si>
    <r>
      <rPr>
        <b/>
        <sz val="11"/>
        <color theme="1"/>
        <rFont val="Calibri"/>
        <family val="2"/>
      </rPr>
      <t>561+</t>
    </r>
    <r>
      <rPr>
        <b/>
        <sz val="11"/>
        <color theme="1"/>
        <rFont val="Calibri"/>
        <family val="2"/>
        <scheme val="minor"/>
      </rPr>
      <t xml:space="preserve"> hp</t>
    </r>
  </si>
  <si>
    <t>10.0-15.0 CU. yard (requires 220 hp)</t>
  </si>
  <si>
    <t>15.0+ CU. yard (requires 550 hp)</t>
  </si>
  <si>
    <t>Pull Dozer 15.0-20.0 CU. Yard (requires 400 hp)</t>
  </si>
  <si>
    <t>Pull Dozer 21.01+ CU. Yard (requires 550 hp)</t>
  </si>
  <si>
    <t>Rotary Ditcher (requires 400 hp)</t>
  </si>
  <si>
    <t>Rotary Ditcher</t>
  </si>
  <si>
    <t>21.01+ CU. Yard</t>
  </si>
  <si>
    <t xml:space="preserve">15.0-20.0 CU. Yard </t>
  </si>
  <si>
    <t>15.0+ CU. Yard</t>
  </si>
  <si>
    <t>10.0-15.0 CU. Yard</t>
  </si>
  <si>
    <t>800 US gal, 90 ft boom</t>
  </si>
  <si>
    <t>1000 US gal, 100 ft boom</t>
  </si>
  <si>
    <t>1200 US gal, 120 ft boom</t>
  </si>
  <si>
    <t>1600 US gal, 130 ft boom</t>
  </si>
  <si>
    <t>800 US gal</t>
  </si>
  <si>
    <t>Please note that in order for the appropriate units of measurement to show correctly, choose implement first, then tractor. For example, choose harvesting hay baler small</t>
  </si>
  <si>
    <t>square as implement 1, then two-wheel drive tractor as implement 2 to ensure the rental rate will be shown as per bale.</t>
  </si>
  <si>
    <t>2022-23 Farm Machinery Custom and Rental Rate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</si>
</sst>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&quot;$&quot;#,##0;\-&quot;$&quot;#,##0"/>
    <numFmt numFmtId="165" formatCode="&quot;$&quot;#,##0.00;\-&quot;$&quot;#,##0.00"/>
    <numFmt numFmtId="166" formatCode="_-&quot;$&quot;* #,##0.00_-;\-&quot;$&quot;* #,##0.00_-;_-&quot;$&quot;* &quot;-&quot;??_-;_-@_-"/>
    <numFmt numFmtId="167" formatCode="&quot;$&quot;#,##0.00"/>
    <numFmt numFmtId="168" formatCode="0.0"/>
    <numFmt numFmtId="169" formatCode="_(&quot;$&quot;* #,##0_);_(&quot;$&quot;* \(#,##0\);_(&quot;$&quot;* &quot;-&quot;??_);_(@_)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 Narrow"/>
      <family val="2"/>
    </font>
    <font>
      <sz val="11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u/>
      <sz val="10"/>
      <color theme="10"/>
      <name val="Arial"/>
      <family val="2"/>
    </font>
    <font>
      <sz val="12"/>
      <name val="Arial"/>
      <family val="2"/>
    </font>
    <font>
      <b/>
      <u/>
      <sz val="11"/>
      <color rgb="FF0000FF"/>
      <name val="Arial"/>
      <family val="2"/>
    </font>
    <font>
      <b/>
      <sz val="18"/>
      <color theme="0"/>
      <name val="Arial"/>
      <family val="2"/>
    </font>
    <font>
      <sz val="14"/>
      <color theme="0"/>
      <name val="Arial"/>
      <family val="2"/>
    </font>
    <font>
      <b/>
      <sz val="11"/>
      <color rgb="FF0000FF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sz val="18"/>
      <color theme="0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8"/>
      <name val="Arial"/>
      <family val="2"/>
    </font>
    <font>
      <b/>
      <sz val="18"/>
      <color theme="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28E3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9" fontId="8" fillId="0" borderId="0" applyFont="0" applyFill="0" applyBorder="0" applyAlignment="0" applyProtection="0"/>
    <xf numFmtId="0" fontId="21" fillId="0" borderId="0">
      <alignment vertical="top"/>
    </xf>
    <xf numFmtId="0" fontId="23" fillId="0" borderId="0" applyNumberFormat="0" applyFill="0" applyBorder="0" applyAlignment="0" applyProtection="0">
      <alignment vertical="top"/>
      <protection locked="0"/>
    </xf>
    <xf numFmtId="167" fontId="25" fillId="0" borderId="0">
      <alignment vertical="top"/>
    </xf>
    <xf numFmtId="167" fontId="25" fillId="0" borderId="0">
      <alignment vertical="top"/>
    </xf>
  </cellStyleXfs>
  <cellXfs count="315">
    <xf numFmtId="0" fontId="0" fillId="0" borderId="0" xfId="0"/>
    <xf numFmtId="0" fontId="1" fillId="0" borderId="0" xfId="0" applyFont="1" applyBorder="1" applyAlignment="1"/>
    <xf numFmtId="0" fontId="0" fillId="0" borderId="0" xfId="0" applyFill="1"/>
    <xf numFmtId="0" fontId="0" fillId="0" borderId="0" xfId="0" applyFont="1"/>
    <xf numFmtId="0" fontId="0" fillId="3" borderId="0" xfId="0" applyFill="1"/>
    <xf numFmtId="0" fontId="1" fillId="0" borderId="0" xfId="0" applyFont="1" applyFill="1" applyBorder="1" applyAlignment="1"/>
    <xf numFmtId="0" fontId="0" fillId="0" borderId="0" xfId="0"/>
    <xf numFmtId="167" fontId="0" fillId="0" borderId="0" xfId="0" applyNumberFormat="1" applyFill="1"/>
    <xf numFmtId="1" fontId="9" fillId="0" borderId="0" xfId="0" applyNumberFormat="1" applyFont="1" applyFill="1" applyBorder="1"/>
    <xf numFmtId="168" fontId="9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center" wrapText="1"/>
    </xf>
    <xf numFmtId="169" fontId="0" fillId="0" borderId="26" xfId="0" applyNumberFormat="1" applyFill="1" applyBorder="1" applyAlignment="1">
      <alignment horizontal="center" vertical="center" wrapText="1"/>
    </xf>
    <xf numFmtId="169" fontId="0" fillId="0" borderId="0" xfId="0" applyNumberFormat="1" applyFill="1" applyAlignment="1">
      <alignment horizontal="center" vertical="center" wrapText="1"/>
    </xf>
    <xf numFmtId="44" fontId="0" fillId="0" borderId="0" xfId="0" applyNumberFormat="1" applyFill="1" applyAlignment="1">
      <alignment horizontal="center" vertical="center" wrapText="1"/>
    </xf>
    <xf numFmtId="0" fontId="0" fillId="0" borderId="0" xfId="0" applyFont="1" applyBorder="1"/>
    <xf numFmtId="0" fontId="16" fillId="0" borderId="0" xfId="0" applyFont="1" applyBorder="1" applyAlignment="1">
      <alignment horizontal="left" indent="1"/>
    </xf>
    <xf numFmtId="0" fontId="0" fillId="3" borderId="0" xfId="0" applyFont="1" applyFill="1"/>
    <xf numFmtId="0" fontId="0" fillId="0" borderId="0" xfId="0" applyFont="1" applyFill="1"/>
    <xf numFmtId="0" fontId="3" fillId="0" borderId="0" xfId="0" applyFont="1" applyBorder="1" applyAlignment="1">
      <alignment horizontal="left" indent="1"/>
    </xf>
    <xf numFmtId="0" fontId="0" fillId="3" borderId="0" xfId="0" applyFont="1" applyFill="1" applyBorder="1"/>
    <xf numFmtId="0" fontId="17" fillId="0" borderId="0" xfId="0" applyFont="1" applyFill="1"/>
    <xf numFmtId="0" fontId="0" fillId="0" borderId="0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/>
    <xf numFmtId="0" fontId="3" fillId="0" borderId="0" xfId="0" applyFont="1" applyBorder="1" applyAlignment="1"/>
    <xf numFmtId="0" fontId="0" fillId="3" borderId="0" xfId="0" applyFont="1" applyFill="1" applyBorder="1" applyAlignment="1"/>
    <xf numFmtId="0" fontId="3" fillId="3" borderId="0" xfId="0" applyFont="1" applyFill="1" applyBorder="1" applyAlignment="1"/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17" fillId="5" borderId="0" xfId="0" applyFont="1" applyFill="1"/>
    <xf numFmtId="0" fontId="17" fillId="0" borderId="0" xfId="0" applyFont="1"/>
    <xf numFmtId="0" fontId="17" fillId="0" borderId="0" xfId="0" applyFont="1" applyBorder="1"/>
    <xf numFmtId="0" fontId="0" fillId="6" borderId="0" xfId="0" applyFill="1"/>
    <xf numFmtId="0" fontId="0" fillId="0" borderId="0" xfId="0" applyFill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7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9" fontId="0" fillId="8" borderId="26" xfId="0" applyNumberFormat="1" applyFill="1" applyBorder="1" applyAlignment="1">
      <alignment horizontal="center" vertical="center" wrapText="1"/>
    </xf>
    <xf numFmtId="169" fontId="0" fillId="9" borderId="26" xfId="0" applyNumberFormat="1" applyFill="1" applyBorder="1" applyAlignment="1">
      <alignment horizontal="center" vertical="center" wrapText="1"/>
    </xf>
    <xf numFmtId="1" fontId="0" fillId="9" borderId="30" xfId="0" applyNumberFormat="1" applyFill="1" applyBorder="1" applyAlignment="1">
      <alignment horizontal="center" vertical="center" wrapText="1"/>
    </xf>
    <xf numFmtId="169" fontId="0" fillId="9" borderId="30" xfId="0" applyNumberFormat="1" applyFill="1" applyBorder="1" applyAlignment="1">
      <alignment horizontal="center" vertical="center" wrapText="1"/>
    </xf>
    <xf numFmtId="169" fontId="0" fillId="9" borderId="29" xfId="0" applyNumberFormat="1" applyFill="1" applyBorder="1" applyAlignment="1">
      <alignment horizontal="center" vertical="center" wrapText="1"/>
    </xf>
    <xf numFmtId="1" fontId="0" fillId="9" borderId="31" xfId="0" applyNumberFormat="1" applyFill="1" applyBorder="1" applyAlignment="1">
      <alignment horizontal="center" vertical="center" wrapText="1"/>
    </xf>
    <xf numFmtId="169" fontId="0" fillId="9" borderId="31" xfId="0" applyNumberFormat="1" applyFill="1" applyBorder="1" applyAlignment="1">
      <alignment horizontal="center" vertical="center" wrapText="1"/>
    </xf>
    <xf numFmtId="169" fontId="0" fillId="9" borderId="28" xfId="0" applyNumberFormat="1" applyFill="1" applyBorder="1" applyAlignment="1">
      <alignment horizontal="center" vertical="center" wrapText="1"/>
    </xf>
    <xf numFmtId="1" fontId="0" fillId="9" borderId="20" xfId="0" applyNumberFormat="1" applyFill="1" applyBorder="1" applyAlignment="1">
      <alignment horizontal="center" vertical="center" wrapText="1"/>
    </xf>
    <xf numFmtId="169" fontId="0" fillId="9" borderId="20" xfId="0" applyNumberFormat="1" applyFill="1" applyBorder="1" applyAlignment="1">
      <alignment horizontal="center" vertical="center" wrapText="1"/>
    </xf>
    <xf numFmtId="1" fontId="0" fillId="9" borderId="20" xfId="0" quotePrefix="1" applyNumberFormat="1" applyFill="1" applyBorder="1" applyAlignment="1">
      <alignment horizontal="center" vertical="center" wrapText="1"/>
    </xf>
    <xf numFmtId="169" fontId="0" fillId="7" borderId="26" xfId="0" applyNumberFormat="1" applyFill="1" applyBorder="1" applyAlignment="1">
      <alignment horizontal="center" vertical="center" wrapText="1"/>
    </xf>
    <xf numFmtId="1" fontId="0" fillId="0" borderId="30" xfId="0" applyNumberFormat="1" applyFill="1" applyBorder="1" applyAlignment="1">
      <alignment horizontal="center" vertical="center" wrapText="1"/>
    </xf>
    <xf numFmtId="169" fontId="0" fillId="0" borderId="30" xfId="0" applyNumberFormat="1" applyFill="1" applyBorder="1" applyAlignment="1">
      <alignment horizontal="center" vertical="center" wrapText="1"/>
    </xf>
    <xf numFmtId="166" fontId="0" fillId="0" borderId="30" xfId="0" applyNumberFormat="1" applyFill="1" applyBorder="1" applyAlignment="1">
      <alignment horizontal="center" vertical="center" wrapText="1"/>
    </xf>
    <xf numFmtId="169" fontId="0" fillId="0" borderId="28" xfId="0" applyNumberForma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69" fontId="0" fillId="0" borderId="20" xfId="0" applyNumberFormat="1" applyFill="1" applyBorder="1" applyAlignment="1">
      <alignment horizontal="center" vertical="center" wrapText="1"/>
    </xf>
    <xf numFmtId="169" fontId="0" fillId="0" borderId="29" xfId="0" applyNumberFormat="1" applyFill="1" applyBorder="1" applyAlignment="1">
      <alignment horizontal="center" vertical="center" wrapText="1"/>
    </xf>
    <xf numFmtId="1" fontId="0" fillId="0" borderId="31" xfId="0" applyNumberFormat="1" applyFill="1" applyBorder="1" applyAlignment="1">
      <alignment horizontal="center" vertical="center" wrapText="1"/>
    </xf>
    <xf numFmtId="169" fontId="0" fillId="0" borderId="31" xfId="0" applyNumberFormat="1" applyFill="1" applyBorder="1" applyAlignment="1">
      <alignment horizontal="center" vertical="center" wrapText="1"/>
    </xf>
    <xf numFmtId="169" fontId="0" fillId="0" borderId="33" xfId="0" applyNumberFormat="1" applyFill="1" applyBorder="1" applyAlignment="1">
      <alignment horizontal="center" vertical="center" wrapText="1"/>
    </xf>
    <xf numFmtId="169" fontId="0" fillId="3" borderId="26" xfId="0" applyNumberFormat="1" applyFill="1" applyBorder="1" applyAlignment="1">
      <alignment horizontal="center" vertical="center" wrapText="1"/>
    </xf>
    <xf numFmtId="1" fontId="0" fillId="9" borderId="30" xfId="0" quotePrefix="1" applyNumberFormat="1" applyFill="1" applyBorder="1" applyAlignment="1">
      <alignment horizontal="center" vertical="center" wrapText="1"/>
    </xf>
    <xf numFmtId="1" fontId="0" fillId="9" borderId="31" xfId="0" quotePrefix="1" applyNumberFormat="1" applyFill="1" applyBorder="1" applyAlignment="1">
      <alignment horizontal="center" vertical="center" wrapText="1"/>
    </xf>
    <xf numFmtId="169" fontId="0" fillId="9" borderId="34" xfId="0" applyNumberFormat="1" applyFill="1" applyBorder="1" applyAlignment="1">
      <alignment horizontal="center" vertical="center" wrapText="1"/>
    </xf>
    <xf numFmtId="1" fontId="0" fillId="9" borderId="15" xfId="0" applyNumberFormat="1" applyFill="1" applyBorder="1" applyAlignment="1">
      <alignment horizontal="center" vertical="center" wrapText="1"/>
    </xf>
    <xf numFmtId="169" fontId="0" fillId="9" borderId="15" xfId="0" applyNumberFormat="1" applyFill="1" applyBorder="1" applyAlignment="1">
      <alignment horizontal="center" vertical="center" wrapText="1"/>
    </xf>
    <xf numFmtId="169" fontId="0" fillId="9" borderId="35" xfId="0" applyNumberFormat="1" applyFill="1" applyBorder="1" applyAlignment="1">
      <alignment horizontal="center" vertical="center" wrapText="1"/>
    </xf>
    <xf numFmtId="169" fontId="0" fillId="9" borderId="21" xfId="0" applyNumberFormat="1" applyFill="1" applyBorder="1" applyAlignment="1">
      <alignment horizontal="center" vertical="center" wrapText="1"/>
    </xf>
    <xf numFmtId="1" fontId="0" fillId="9" borderId="21" xfId="0" applyNumberFormat="1" applyFill="1" applyBorder="1" applyAlignment="1">
      <alignment horizontal="center" vertical="center" wrapText="1"/>
    </xf>
    <xf numFmtId="1" fontId="0" fillId="9" borderId="35" xfId="0" applyNumberFormat="1" applyFill="1" applyBorder="1" applyAlignment="1">
      <alignment horizontal="center" vertical="center" wrapText="1"/>
    </xf>
    <xf numFmtId="1" fontId="0" fillId="9" borderId="15" xfId="0" quotePrefix="1" applyNumberFormat="1" applyFill="1" applyBorder="1" applyAlignment="1">
      <alignment horizontal="center" vertical="center" wrapText="1"/>
    </xf>
    <xf numFmtId="169" fontId="0" fillId="9" borderId="36" xfId="0" applyNumberFormat="1" applyFill="1" applyBorder="1" applyAlignment="1">
      <alignment horizontal="center" vertical="center" wrapText="1"/>
    </xf>
    <xf numFmtId="1" fontId="0" fillId="9" borderId="6" xfId="0" applyNumberFormat="1" applyFill="1" applyBorder="1" applyAlignment="1">
      <alignment horizontal="center" vertical="center" wrapText="1"/>
    </xf>
    <xf numFmtId="169" fontId="0" fillId="9" borderId="6" xfId="0" applyNumberFormat="1" applyFill="1" applyBorder="1" applyAlignment="1">
      <alignment horizontal="center" vertical="center" wrapText="1"/>
    </xf>
    <xf numFmtId="169" fontId="0" fillId="0" borderId="34" xfId="0" applyNumberForma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169" fontId="0" fillId="0" borderId="14" xfId="0" applyNumberFormat="1" applyFill="1" applyBorder="1" applyAlignment="1">
      <alignment horizontal="center" vertical="center" wrapText="1"/>
    </xf>
    <xf numFmtId="169" fontId="0" fillId="0" borderId="36" xfId="0" applyNumberFormat="1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 wrapText="1"/>
    </xf>
    <xf numFmtId="169" fontId="0" fillId="0" borderId="6" xfId="0" applyNumberForma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1" fontId="0" fillId="9" borderId="19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10" borderId="0" xfId="0" applyFill="1" applyAlignment="1">
      <alignment horizontal="center" vertical="center" wrapText="1"/>
    </xf>
    <xf numFmtId="0" fontId="0" fillId="5" borderId="0" xfId="0" applyFill="1"/>
    <xf numFmtId="165" fontId="0" fillId="0" borderId="0" xfId="0" applyNumberFormat="1" applyFill="1"/>
    <xf numFmtId="0" fontId="9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2" fontId="9" fillId="0" borderId="16" xfId="0" applyNumberFormat="1" applyFont="1" applyFill="1" applyBorder="1"/>
    <xf numFmtId="0" fontId="0" fillId="0" borderId="16" xfId="0" applyFill="1" applyBorder="1"/>
    <xf numFmtId="0" fontId="4" fillId="0" borderId="16" xfId="0" applyFont="1" applyFill="1" applyBorder="1" applyAlignment="1">
      <alignment horizontal="center" vertical="center" wrapText="1"/>
    </xf>
    <xf numFmtId="0" fontId="9" fillId="5" borderId="0" xfId="0" applyFont="1" applyFill="1"/>
    <xf numFmtId="0" fontId="7" fillId="5" borderId="0" xfId="0" applyFont="1" applyFill="1"/>
    <xf numFmtId="1" fontId="9" fillId="5" borderId="0" xfId="0" applyNumberFormat="1" applyFont="1" applyFill="1" applyBorder="1"/>
    <xf numFmtId="0" fontId="9" fillId="0" borderId="0" xfId="0" applyNumberFormat="1" applyFont="1" applyFill="1" applyBorder="1"/>
    <xf numFmtId="0" fontId="0" fillId="0" borderId="5" xfId="0" applyFill="1" applyBorder="1" applyAlignment="1">
      <alignment horizontal="center" vertical="center" wrapText="1"/>
    </xf>
    <xf numFmtId="166" fontId="0" fillId="0" borderId="0" xfId="0" applyNumberFormat="1"/>
    <xf numFmtId="0" fontId="20" fillId="6" borderId="0" xfId="0" applyFont="1" applyFill="1" applyProtection="1"/>
    <xf numFmtId="0" fontId="11" fillId="6" borderId="0" xfId="0" applyFont="1" applyFill="1"/>
    <xf numFmtId="0" fontId="12" fillId="6" borderId="0" xfId="0" applyFont="1" applyFill="1" applyProtection="1"/>
    <xf numFmtId="0" fontId="18" fillId="6" borderId="0" xfId="0" applyFont="1" applyFill="1"/>
    <xf numFmtId="0" fontId="18" fillId="6" borderId="0" xfId="0" applyFont="1" applyFill="1" applyProtection="1"/>
    <xf numFmtId="0" fontId="13" fillId="6" borderId="0" xfId="0" applyFont="1" applyFill="1" applyProtection="1"/>
    <xf numFmtId="167" fontId="29" fillId="2" borderId="0" xfId="0" applyNumberFormat="1" applyFont="1" applyFill="1" applyBorder="1" applyAlignment="1" applyProtection="1">
      <alignment horizontal="center"/>
      <protection locked="0"/>
    </xf>
    <xf numFmtId="9" fontId="29" fillId="2" borderId="0" xfId="0" applyNumberFormat="1" applyFont="1" applyFill="1" applyBorder="1" applyAlignment="1" applyProtection="1">
      <alignment horizontal="center"/>
      <protection locked="0"/>
    </xf>
    <xf numFmtId="10" fontId="29" fillId="2" borderId="0" xfId="0" applyNumberFormat="1" applyFont="1" applyFill="1" applyBorder="1" applyAlignment="1" applyProtection="1">
      <alignment horizontal="center"/>
      <protection locked="0"/>
    </xf>
    <xf numFmtId="10" fontId="29" fillId="2" borderId="0" xfId="1" applyNumberFormat="1" applyFont="1" applyFill="1" applyAlignment="1" applyProtection="1">
      <alignment horizontal="center"/>
      <protection locked="0"/>
    </xf>
    <xf numFmtId="0" fontId="29" fillId="2" borderId="0" xfId="0" applyFont="1" applyFill="1" applyAlignment="1" applyProtection="1">
      <alignment horizontal="center"/>
      <protection locked="0"/>
    </xf>
    <xf numFmtId="0" fontId="13" fillId="6" borderId="0" xfId="0" applyFont="1" applyFill="1" applyBorder="1" applyAlignment="1" applyProtection="1"/>
    <xf numFmtId="0" fontId="30" fillId="6" borderId="0" xfId="0" applyFont="1" applyFill="1" applyProtection="1"/>
    <xf numFmtId="0" fontId="11" fillId="6" borderId="0" xfId="0" applyFont="1" applyFill="1" applyProtection="1"/>
    <xf numFmtId="0" fontId="19" fillId="6" borderId="0" xfId="0" applyFont="1" applyFill="1" applyAlignment="1" applyProtection="1"/>
    <xf numFmtId="0" fontId="10" fillId="6" borderId="0" xfId="0" applyFont="1" applyFill="1" applyAlignment="1" applyProtection="1"/>
    <xf numFmtId="0" fontId="10" fillId="6" borderId="0" xfId="0" applyFont="1" applyFill="1" applyProtection="1"/>
    <xf numFmtId="0" fontId="10" fillId="6" borderId="0" xfId="0" applyFont="1" applyFill="1" applyAlignment="1" applyProtection="1">
      <alignment vertical="top"/>
    </xf>
    <xf numFmtId="0" fontId="11" fillId="6" borderId="0" xfId="0" applyFont="1" applyFill="1" applyAlignment="1" applyProtection="1"/>
    <xf numFmtId="0" fontId="32" fillId="3" borderId="0" xfId="0" applyFont="1" applyFill="1" applyProtection="1"/>
    <xf numFmtId="0" fontId="10" fillId="0" borderId="0" xfId="0" applyFont="1" applyFill="1" applyAlignment="1" applyProtection="1">
      <alignment horizontal="center"/>
    </xf>
    <xf numFmtId="164" fontId="29" fillId="2" borderId="16" xfId="0" applyNumberFormat="1" applyFont="1" applyFill="1" applyBorder="1" applyProtection="1">
      <protection locked="0"/>
    </xf>
    <xf numFmtId="165" fontId="11" fillId="6" borderId="0" xfId="0" applyNumberFormat="1" applyFont="1" applyFill="1" applyProtection="1"/>
    <xf numFmtId="0" fontId="29" fillId="2" borderId="16" xfId="0" applyNumberFormat="1" applyFont="1" applyFill="1" applyBorder="1" applyProtection="1">
      <protection locked="0"/>
    </xf>
    <xf numFmtId="10" fontId="29" fillId="2" borderId="16" xfId="0" applyNumberFormat="1" applyFont="1" applyFill="1" applyBorder="1" applyProtection="1">
      <protection locked="0"/>
    </xf>
    <xf numFmtId="164" fontId="13" fillId="2" borderId="16" xfId="0" applyNumberFormat="1" applyFont="1" applyFill="1" applyBorder="1" applyProtection="1"/>
    <xf numFmtId="167" fontId="13" fillId="6" borderId="0" xfId="0" applyNumberFormat="1" applyFont="1" applyFill="1" applyProtection="1"/>
    <xf numFmtId="167" fontId="11" fillId="6" borderId="0" xfId="0" applyNumberFormat="1" applyFont="1" applyFill="1" applyProtection="1"/>
    <xf numFmtId="167" fontId="11" fillId="6" borderId="0" xfId="0" applyNumberFormat="1" applyFont="1" applyFill="1" applyBorder="1" applyProtection="1"/>
    <xf numFmtId="0" fontId="11" fillId="6" borderId="0" xfId="0" applyFont="1" applyFill="1" applyBorder="1" applyProtection="1"/>
    <xf numFmtId="165" fontId="13" fillId="0" borderId="0" xfId="0" applyNumberFormat="1" applyFont="1" applyFill="1" applyBorder="1" applyProtection="1"/>
    <xf numFmtId="165" fontId="11" fillId="0" borderId="0" xfId="0" applyNumberFormat="1" applyFont="1" applyFill="1" applyBorder="1" applyProtection="1"/>
    <xf numFmtId="0" fontId="11" fillId="0" borderId="0" xfId="0" applyFont="1" applyFill="1" applyBorder="1" applyProtection="1"/>
    <xf numFmtId="168" fontId="29" fillId="2" borderId="16" xfId="0" applyNumberFormat="1" applyFont="1" applyFill="1" applyBorder="1" applyAlignment="1" applyProtection="1">
      <alignment horizontal="right"/>
      <protection locked="0"/>
    </xf>
    <xf numFmtId="168" fontId="11" fillId="6" borderId="0" xfId="0" applyNumberFormat="1" applyFont="1" applyFill="1" applyProtection="1"/>
    <xf numFmtId="9" fontId="29" fillId="2" borderId="16" xfId="0" applyNumberFormat="1" applyFont="1" applyFill="1" applyBorder="1" applyAlignment="1" applyProtection="1">
      <alignment horizontal="right"/>
      <protection locked="0"/>
    </xf>
    <xf numFmtId="0" fontId="27" fillId="6" borderId="0" xfId="0" applyFont="1" applyFill="1" applyBorder="1" applyAlignment="1"/>
    <xf numFmtId="0" fontId="34" fillId="6" borderId="0" xfId="0" applyFont="1" applyFill="1" applyBorder="1"/>
    <xf numFmtId="0" fontId="10" fillId="6" borderId="0" xfId="0" applyFont="1" applyFill="1" applyBorder="1" applyAlignment="1" applyProtection="1"/>
    <xf numFmtId="165" fontId="13" fillId="6" borderId="16" xfId="0" applyNumberFormat="1" applyFont="1" applyFill="1" applyBorder="1" applyAlignment="1" applyProtection="1">
      <alignment horizontal="right"/>
    </xf>
    <xf numFmtId="165" fontId="11" fillId="6" borderId="0" xfId="0" applyNumberFormat="1" applyFont="1" applyFill="1" applyAlignment="1" applyProtection="1">
      <alignment horizontal="left"/>
    </xf>
    <xf numFmtId="165" fontId="11" fillId="6" borderId="0" xfId="0" applyNumberFormat="1" applyFont="1" applyFill="1" applyAlignment="1" applyProtection="1">
      <alignment horizontal="right"/>
    </xf>
    <xf numFmtId="0" fontId="10" fillId="3" borderId="0" xfId="0" applyFont="1" applyFill="1" applyBorder="1" applyAlignment="1">
      <alignment horizontal="center"/>
    </xf>
    <xf numFmtId="165" fontId="13" fillId="6" borderId="16" xfId="0" applyNumberFormat="1" applyFont="1" applyFill="1" applyBorder="1" applyProtection="1"/>
    <xf numFmtId="167" fontId="13" fillId="6" borderId="16" xfId="0" applyNumberFormat="1" applyFont="1" applyFill="1" applyBorder="1" applyAlignment="1" applyProtection="1">
      <alignment horizontal="right"/>
    </xf>
    <xf numFmtId="0" fontId="11" fillId="6" borderId="0" xfId="0" applyFont="1" applyFill="1" applyAlignment="1" applyProtection="1">
      <alignment horizontal="right"/>
    </xf>
    <xf numFmtId="0" fontId="11" fillId="6" borderId="0" xfId="0" applyFont="1" applyFill="1" applyBorder="1" applyAlignment="1" applyProtection="1">
      <alignment horizontal="right"/>
    </xf>
    <xf numFmtId="0" fontId="13" fillId="6" borderId="0" xfId="0" applyFont="1" applyFill="1" applyBorder="1" applyProtection="1"/>
    <xf numFmtId="0" fontId="13" fillId="6" borderId="0" xfId="0" applyFont="1" applyFill="1" applyBorder="1" applyAlignment="1" applyProtection="1">
      <alignment horizontal="right"/>
    </xf>
    <xf numFmtId="0" fontId="11" fillId="0" borderId="0" xfId="0" applyFont="1" applyFill="1" applyProtection="1"/>
    <xf numFmtId="0" fontId="11" fillId="0" borderId="0" xfId="0" applyFont="1" applyFill="1" applyBorder="1" applyAlignment="1" applyProtection="1">
      <alignment horizontal="left"/>
    </xf>
    <xf numFmtId="0" fontId="11" fillId="6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13" fillId="6" borderId="0" xfId="0" applyFont="1" applyFill="1" applyAlignment="1" applyProtection="1">
      <alignment horizontal="right"/>
    </xf>
    <xf numFmtId="167" fontId="11" fillId="6" borderId="0" xfId="0" applyNumberFormat="1" applyFont="1" applyFill="1" applyBorder="1" applyAlignment="1" applyProtection="1">
      <alignment horizontal="right"/>
    </xf>
    <xf numFmtId="165" fontId="11" fillId="6" borderId="0" xfId="0" applyNumberFormat="1" applyFont="1" applyFill="1" applyBorder="1" applyAlignment="1" applyProtection="1">
      <alignment horizontal="right"/>
    </xf>
    <xf numFmtId="0" fontId="11" fillId="6" borderId="0" xfId="0" applyFont="1" applyFill="1" applyProtection="1">
      <protection locked="0"/>
    </xf>
    <xf numFmtId="165" fontId="35" fillId="6" borderId="0" xfId="0" applyNumberFormat="1" applyFont="1" applyFill="1" applyBorder="1" applyAlignment="1" applyProtection="1">
      <alignment horizontal="right"/>
    </xf>
    <xf numFmtId="0" fontId="35" fillId="6" borderId="0" xfId="0" applyFont="1" applyFill="1" applyProtection="1">
      <protection locked="0"/>
    </xf>
    <xf numFmtId="0" fontId="35" fillId="6" borderId="0" xfId="0" applyFont="1" applyFill="1"/>
    <xf numFmtId="0" fontId="13" fillId="6" borderId="0" xfId="0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>
      <alignment horizontal="left"/>
    </xf>
    <xf numFmtId="0" fontId="21" fillId="6" borderId="0" xfId="2" applyFont="1" applyFill="1" applyAlignment="1"/>
    <xf numFmtId="0" fontId="13" fillId="6" borderId="1" xfId="0" applyFont="1" applyFill="1" applyBorder="1" applyAlignment="1" applyProtection="1"/>
    <xf numFmtId="0" fontId="14" fillId="6" borderId="1" xfId="0" applyFont="1" applyFill="1" applyBorder="1" applyAlignment="1"/>
    <xf numFmtId="0" fontId="0" fillId="6" borderId="1" xfId="0" applyFont="1" applyFill="1" applyBorder="1"/>
    <xf numFmtId="0" fontId="13" fillId="6" borderId="1" xfId="0" applyFont="1" applyFill="1" applyBorder="1" applyAlignment="1" applyProtection="1">
      <alignment horizontal="right"/>
    </xf>
    <xf numFmtId="0" fontId="14" fillId="6" borderId="1" xfId="2" applyFont="1" applyFill="1" applyBorder="1" applyAlignment="1"/>
    <xf numFmtId="0" fontId="30" fillId="6" borderId="1" xfId="2" applyFont="1" applyFill="1" applyBorder="1" applyAlignment="1">
      <alignment horizontal="right"/>
    </xf>
    <xf numFmtId="0" fontId="0" fillId="6" borderId="0" xfId="0" applyFont="1" applyFill="1"/>
    <xf numFmtId="0" fontId="13" fillId="6" borderId="0" xfId="0" applyFont="1" applyFill="1" applyBorder="1" applyAlignment="1" applyProtection="1">
      <alignment horizontal="left" vertical="center"/>
    </xf>
    <xf numFmtId="0" fontId="14" fillId="6" borderId="0" xfId="0" applyFont="1" applyFill="1" applyBorder="1" applyAlignment="1" applyProtection="1"/>
    <xf numFmtId="0" fontId="14" fillId="6" borderId="0" xfId="0" applyFont="1" applyFill="1" applyAlignment="1"/>
    <xf numFmtId="0" fontId="14" fillId="6" borderId="0" xfId="2" applyFont="1" applyFill="1" applyAlignment="1"/>
    <xf numFmtId="167" fontId="26" fillId="6" borderId="0" xfId="3" applyNumberFormat="1" applyFont="1" applyFill="1" applyProtection="1">
      <alignment vertical="top"/>
    </xf>
    <xf numFmtId="167" fontId="24" fillId="6" borderId="0" xfId="3" applyNumberFormat="1" applyFont="1" applyFill="1" applyProtection="1">
      <alignment vertical="top"/>
    </xf>
    <xf numFmtId="167" fontId="14" fillId="6" borderId="0" xfId="5" applyFont="1" applyFill="1">
      <alignment vertical="top"/>
    </xf>
    <xf numFmtId="167" fontId="14" fillId="6" borderId="0" xfId="4" applyFont="1" applyFill="1">
      <alignment vertical="top"/>
    </xf>
    <xf numFmtId="0" fontId="21" fillId="6" borderId="0" xfId="0" applyFont="1" applyFill="1" applyAlignment="1" applyProtection="1"/>
    <xf numFmtId="0" fontId="15" fillId="6" borderId="0" xfId="0" applyFont="1" applyFill="1" applyAlignment="1">
      <alignment horizontal="left" vertical="center" wrapText="1"/>
    </xf>
    <xf numFmtId="0" fontId="18" fillId="3" borderId="0" xfId="0" applyFont="1" applyFill="1"/>
    <xf numFmtId="0" fontId="11" fillId="3" borderId="0" xfId="0" applyFont="1" applyFill="1"/>
    <xf numFmtId="0" fontId="27" fillId="3" borderId="0" xfId="0" applyFont="1" applyFill="1" applyBorder="1" applyAlignment="1"/>
    <xf numFmtId="0" fontId="34" fillId="3" borderId="0" xfId="0" applyFont="1" applyFill="1" applyBorder="1"/>
    <xf numFmtId="0" fontId="12" fillId="0" borderId="0" xfId="0" applyFont="1" applyFill="1" applyProtection="1"/>
    <xf numFmtId="0" fontId="13" fillId="3" borderId="0" xfId="0" applyFont="1" applyFill="1" applyProtection="1"/>
    <xf numFmtId="0" fontId="10" fillId="6" borderId="0" xfId="0" applyFont="1" applyFill="1" applyAlignment="1" applyProtection="1">
      <alignment horizontal="right"/>
    </xf>
    <xf numFmtId="0" fontId="5" fillId="6" borderId="0" xfId="0" applyFont="1" applyFill="1" applyAlignment="1">
      <alignment horizontal="left" vertical="center" wrapText="1"/>
    </xf>
    <xf numFmtId="0" fontId="5" fillId="6" borderId="0" xfId="0" applyFont="1" applyFill="1"/>
    <xf numFmtId="0" fontId="10" fillId="6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left" vertical="top"/>
    </xf>
    <xf numFmtId="0" fontId="11" fillId="6" borderId="36" xfId="0" applyFont="1" applyFill="1" applyBorder="1"/>
    <xf numFmtId="0" fontId="11" fillId="3" borderId="3" xfId="0" applyFont="1" applyFill="1" applyBorder="1"/>
    <xf numFmtId="0" fontId="11" fillId="3" borderId="5" xfId="0" applyFont="1" applyFill="1" applyBorder="1"/>
    <xf numFmtId="0" fontId="11" fillId="3" borderId="8" xfId="0" applyFont="1" applyFill="1" applyBorder="1"/>
    <xf numFmtId="0" fontId="11" fillId="3" borderId="4" xfId="0" applyFont="1" applyFill="1" applyBorder="1"/>
    <xf numFmtId="168" fontId="13" fillId="3" borderId="16" xfId="0" applyNumberFormat="1" applyFont="1" applyFill="1" applyBorder="1"/>
    <xf numFmtId="0" fontId="13" fillId="3" borderId="17" xfId="0" applyFont="1" applyFill="1" applyBorder="1"/>
    <xf numFmtId="0" fontId="38" fillId="3" borderId="0" xfId="0" applyFont="1" applyFill="1" applyBorder="1" applyAlignment="1"/>
    <xf numFmtId="0" fontId="0" fillId="11" borderId="0" xfId="0" applyFill="1"/>
    <xf numFmtId="0" fontId="0" fillId="12" borderId="0" xfId="0" applyFill="1" applyBorder="1"/>
    <xf numFmtId="0" fontId="0" fillId="12" borderId="5" xfId="0" applyFill="1" applyBorder="1"/>
    <xf numFmtId="0" fontId="4" fillId="6" borderId="0" xfId="0" applyFont="1" applyFill="1" applyBorder="1"/>
    <xf numFmtId="0" fontId="0" fillId="6" borderId="0" xfId="0" applyFill="1" applyBorder="1"/>
    <xf numFmtId="0" fontId="0" fillId="13" borderId="5" xfId="0" applyFill="1" applyBorder="1"/>
    <xf numFmtId="0" fontId="0" fillId="6" borderId="0" xfId="0" applyFont="1" applyFill="1" applyBorder="1"/>
    <xf numFmtId="0" fontId="1" fillId="6" borderId="0" xfId="0" applyFont="1" applyFill="1" applyBorder="1"/>
    <xf numFmtId="0" fontId="40" fillId="6" borderId="0" xfId="0" applyFont="1" applyFill="1" applyBorder="1"/>
    <xf numFmtId="0" fontId="6" fillId="6" borderId="0" xfId="0" applyFont="1" applyFill="1" applyBorder="1"/>
    <xf numFmtId="0" fontId="5" fillId="6" borderId="0" xfId="0" applyFont="1" applyFill="1" applyBorder="1"/>
    <xf numFmtId="0" fontId="5" fillId="13" borderId="5" xfId="0" applyFont="1" applyFill="1" applyBorder="1"/>
    <xf numFmtId="0" fontId="3" fillId="6" borderId="0" xfId="0" applyFont="1" applyFill="1" applyBorder="1"/>
    <xf numFmtId="0" fontId="0" fillId="13" borderId="0" xfId="0" applyFill="1" applyBorder="1"/>
    <xf numFmtId="0" fontId="0" fillId="11" borderId="0" xfId="0" applyFill="1" applyBorder="1"/>
    <xf numFmtId="0" fontId="3" fillId="6" borderId="0" xfId="0" applyFont="1" applyFill="1"/>
    <xf numFmtId="169" fontId="0" fillId="9" borderId="33" xfId="0" applyNumberFormat="1" applyFill="1" applyBorder="1" applyAlignment="1">
      <alignment horizontal="center" vertical="center" wrapText="1"/>
    </xf>
    <xf numFmtId="1" fontId="0" fillId="9" borderId="14" xfId="0" applyNumberFormat="1" applyFill="1" applyBorder="1" applyAlignment="1">
      <alignment horizontal="center" vertical="center" wrapText="1"/>
    </xf>
    <xf numFmtId="169" fontId="0" fillId="9" borderId="14" xfId="0" applyNumberFormat="1" applyFill="1" applyBorder="1" applyAlignment="1">
      <alignment horizontal="center" vertical="center" wrapText="1"/>
    </xf>
    <xf numFmtId="169" fontId="0" fillId="8" borderId="26" xfId="0" applyNumberFormat="1" applyFill="1" applyBorder="1" applyAlignment="1">
      <alignment horizontal="center" vertical="center" wrapText="1"/>
    </xf>
    <xf numFmtId="169" fontId="0" fillId="9" borderId="29" xfId="0" applyNumberFormat="1" applyFill="1" applyBorder="1" applyAlignment="1">
      <alignment horizontal="center" vertical="center" wrapText="1"/>
    </xf>
    <xf numFmtId="165" fontId="0" fillId="3" borderId="0" xfId="0" applyNumberFormat="1" applyFill="1"/>
    <xf numFmtId="167" fontId="0" fillId="0" borderId="0" xfId="0" applyNumberFormat="1" applyFill="1"/>
    <xf numFmtId="165" fontId="0" fillId="0" borderId="0" xfId="0" applyNumberFormat="1" applyFill="1"/>
    <xf numFmtId="169" fontId="0" fillId="3" borderId="26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167" fontId="0" fillId="0" borderId="0" xfId="0" applyNumberFormat="1" applyFill="1"/>
    <xf numFmtId="1" fontId="9" fillId="0" borderId="0" xfId="0" applyNumberFormat="1" applyFont="1" applyFill="1" applyBorder="1"/>
    <xf numFmtId="168" fontId="9" fillId="0" borderId="0" xfId="0" applyNumberFormat="1" applyFont="1" applyFill="1" applyBorder="1" applyAlignment="1">
      <alignment horizontal="right"/>
    </xf>
    <xf numFmtId="169" fontId="0" fillId="0" borderId="26" xfId="0" applyNumberFormat="1" applyFill="1" applyBorder="1" applyAlignment="1">
      <alignment horizontal="center" vertical="center" wrapText="1"/>
    </xf>
    <xf numFmtId="0" fontId="0" fillId="3" borderId="0" xfId="0" applyFont="1" applyFill="1"/>
    <xf numFmtId="0" fontId="0" fillId="3" borderId="0" xfId="0" applyFont="1" applyFill="1" applyBorder="1"/>
    <xf numFmtId="0" fontId="17" fillId="0" borderId="0" xfId="0" applyFont="1" applyFill="1"/>
    <xf numFmtId="169" fontId="0" fillId="8" borderId="26" xfId="0" applyNumberFormat="1" applyFill="1" applyBorder="1" applyAlignment="1">
      <alignment horizontal="center" vertical="center" wrapText="1"/>
    </xf>
    <xf numFmtId="169" fontId="0" fillId="0" borderId="33" xfId="0" applyNumberFormat="1" applyFill="1" applyBorder="1" applyAlignment="1">
      <alignment horizontal="center" vertical="center" wrapText="1"/>
    </xf>
    <xf numFmtId="169" fontId="0" fillId="3" borderId="26" xfId="0" applyNumberForma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169" fontId="0" fillId="0" borderId="14" xfId="0" applyNumberFormat="1" applyFill="1" applyBorder="1" applyAlignment="1">
      <alignment horizontal="center" vertical="center" wrapText="1"/>
    </xf>
    <xf numFmtId="165" fontId="0" fillId="0" borderId="0" xfId="0" applyNumberFormat="1" applyFill="1"/>
    <xf numFmtId="0" fontId="9" fillId="0" borderId="0" xfId="0" applyFont="1" applyFill="1" applyBorder="1" applyAlignment="1">
      <alignment horizontal="center"/>
    </xf>
    <xf numFmtId="0" fontId="9" fillId="5" borderId="0" xfId="0" applyFont="1" applyFill="1"/>
    <xf numFmtId="0" fontId="7" fillId="5" borderId="0" xfId="0" applyFont="1" applyFill="1"/>
    <xf numFmtId="164" fontId="29" fillId="2" borderId="16" xfId="0" applyNumberFormat="1" applyFont="1" applyFill="1" applyBorder="1" applyProtection="1">
      <protection locked="0"/>
    </xf>
    <xf numFmtId="0" fontId="29" fillId="2" borderId="16" xfId="0" applyNumberFormat="1" applyFont="1" applyFill="1" applyBorder="1" applyProtection="1">
      <protection locked="0"/>
    </xf>
    <xf numFmtId="10" fontId="29" fillId="2" borderId="16" xfId="0" applyNumberFormat="1" applyFont="1" applyFill="1" applyBorder="1" applyProtection="1">
      <protection locked="0"/>
    </xf>
    <xf numFmtId="168" fontId="29" fillId="2" borderId="16" xfId="0" applyNumberFormat="1" applyFont="1" applyFill="1" applyBorder="1" applyAlignment="1" applyProtection="1">
      <alignment horizontal="right"/>
      <protection locked="0"/>
    </xf>
    <xf numFmtId="9" fontId="29" fillId="2" borderId="16" xfId="0" applyNumberFormat="1" applyFont="1" applyFill="1" applyBorder="1" applyAlignment="1" applyProtection="1">
      <alignment horizontal="right"/>
      <protection locked="0"/>
    </xf>
    <xf numFmtId="0" fontId="0" fillId="14" borderId="0" xfId="0" applyFill="1" applyAlignment="1">
      <alignment horizontal="center" vertical="center" wrapText="1"/>
    </xf>
    <xf numFmtId="0" fontId="0" fillId="14" borderId="0" xfId="0" applyFill="1"/>
    <xf numFmtId="169" fontId="0" fillId="14" borderId="26" xfId="0" applyNumberFormat="1" applyFill="1" applyBorder="1" applyAlignment="1">
      <alignment horizontal="center" vertical="center" wrapText="1"/>
    </xf>
    <xf numFmtId="169" fontId="0" fillId="14" borderId="0" xfId="0" applyNumberFormat="1" applyFill="1" applyAlignment="1">
      <alignment horizontal="center" vertical="center" wrapText="1"/>
    </xf>
    <xf numFmtId="44" fontId="0" fillId="14" borderId="0" xfId="0" applyNumberFormat="1" applyFill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11" borderId="3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9" fillId="6" borderId="0" xfId="0" applyFont="1" applyFill="1" applyAlignment="1" applyProtection="1">
      <alignment horizontal="left"/>
    </xf>
    <xf numFmtId="0" fontId="29" fillId="4" borderId="37" xfId="0" applyFont="1" applyFill="1" applyBorder="1" applyAlignment="1" applyProtection="1">
      <alignment horizontal="left" vertical="center" wrapText="1"/>
      <protection locked="0"/>
    </xf>
    <xf numFmtId="0" fontId="29" fillId="4" borderId="38" xfId="0" applyFont="1" applyFill="1" applyBorder="1" applyAlignment="1" applyProtection="1">
      <alignment horizontal="left" vertical="center" wrapText="1"/>
      <protection locked="0"/>
    </xf>
    <xf numFmtId="0" fontId="19" fillId="6" borderId="0" xfId="0" applyFont="1" applyFill="1" applyAlignment="1">
      <alignment horizontal="center"/>
    </xf>
    <xf numFmtId="0" fontId="22" fillId="6" borderId="0" xfId="0" applyFont="1" applyFill="1" applyAlignment="1">
      <alignment horizontal="center"/>
    </xf>
    <xf numFmtId="0" fontId="10" fillId="6" borderId="0" xfId="0" applyFont="1" applyFill="1" applyBorder="1" applyAlignment="1" applyProtection="1">
      <alignment horizontal="left"/>
    </xf>
    <xf numFmtId="0" fontId="29" fillId="4" borderId="37" xfId="0" applyFont="1" applyFill="1" applyBorder="1" applyAlignment="1" applyProtection="1">
      <alignment horizontal="left"/>
      <protection locked="0"/>
    </xf>
    <xf numFmtId="0" fontId="29" fillId="4" borderId="38" xfId="0" applyFont="1" applyFill="1" applyBorder="1" applyAlignment="1" applyProtection="1">
      <alignment horizontal="left"/>
      <protection locked="0"/>
    </xf>
    <xf numFmtId="0" fontId="36" fillId="6" borderId="0" xfId="0" applyFont="1" applyFill="1" applyAlignment="1">
      <alignment horizontal="left" vertical="center" wrapText="1"/>
    </xf>
    <xf numFmtId="0" fontId="39" fillId="13" borderId="2" xfId="0" applyFont="1" applyFill="1" applyBorder="1" applyAlignment="1">
      <alignment horizontal="left"/>
    </xf>
    <xf numFmtId="0" fontId="39" fillId="13" borderId="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14" borderId="19" xfId="0" applyFont="1" applyFill="1" applyBorder="1" applyAlignment="1">
      <alignment horizontal="center" vertical="center" wrapText="1"/>
    </xf>
    <xf numFmtId="0" fontId="0" fillId="14" borderId="25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41" fillId="0" borderId="0" xfId="0" applyFont="1" applyAlignment="1">
      <alignment vertical="center"/>
    </xf>
    <xf numFmtId="0" fontId="42" fillId="6" borderId="0" xfId="0" applyFont="1" applyFill="1"/>
    <xf numFmtId="0" fontId="43" fillId="6" borderId="0" xfId="0" applyFont="1" applyFill="1"/>
    <xf numFmtId="0" fontId="31" fillId="15" borderId="0" xfId="0" applyFont="1" applyFill="1" applyProtection="1"/>
    <xf numFmtId="0" fontId="35" fillId="15" borderId="0" xfId="0" applyFont="1" applyFill="1" applyBorder="1" applyAlignment="1" applyProtection="1">
      <alignment horizontal="left"/>
    </xf>
    <xf numFmtId="0" fontId="11" fillId="15" borderId="0" xfId="0" applyFont="1" applyFill="1" applyBorder="1" applyAlignment="1" applyProtection="1">
      <alignment horizontal="left"/>
    </xf>
    <xf numFmtId="0" fontId="27" fillId="15" borderId="0" xfId="0" applyFont="1" applyFill="1" applyBorder="1" applyAlignment="1" applyProtection="1">
      <alignment vertical="center"/>
    </xf>
    <xf numFmtId="0" fontId="18" fillId="15" borderId="0" xfId="0" applyFont="1" applyFill="1"/>
    <xf numFmtId="0" fontId="11" fillId="15" borderId="0" xfId="0" applyFont="1" applyFill="1"/>
    <xf numFmtId="0" fontId="27" fillId="15" borderId="0" xfId="0" applyFont="1" applyFill="1" applyBorder="1" applyAlignment="1" applyProtection="1"/>
    <xf numFmtId="0" fontId="11" fillId="15" borderId="0" xfId="0" applyFont="1" applyFill="1" applyProtection="1"/>
    <xf numFmtId="0" fontId="28" fillId="15" borderId="0" xfId="0" applyFont="1" applyFill="1" applyProtection="1"/>
    <xf numFmtId="0" fontId="33" fillId="15" borderId="0" xfId="0" applyFont="1" applyFill="1" applyBorder="1" applyProtection="1"/>
    <xf numFmtId="0" fontId="35" fillId="15" borderId="0" xfId="0" applyFont="1" applyFill="1" applyProtection="1"/>
    <xf numFmtId="0" fontId="27" fillId="15" borderId="0" xfId="0" applyFont="1" applyFill="1" applyBorder="1" applyAlignment="1" applyProtection="1">
      <alignment horizontal="left"/>
    </xf>
  </cellXfs>
  <cellStyles count="6">
    <cellStyle name="Hyperlink" xfId="3" builtinId="8"/>
    <cellStyle name="Normal" xfId="0" builtinId="0"/>
    <cellStyle name="Normal 3" xfId="2" xr:uid="{00000000-0005-0000-0000-000002000000}"/>
    <cellStyle name="Normal_Farrow-Wean 500" xfId="4" xr:uid="{00000000-0005-0000-0000-000003000000}"/>
    <cellStyle name="Normal_Farrow-Wean 500 2" xfId="5" xr:uid="{00000000-0005-0000-0000-000004000000}"/>
    <cellStyle name="Percent" xfId="1" builtinId="5"/>
  </cellStyles>
  <dxfs count="0"/>
  <tableStyles count="0" defaultTableStyle="TableStyleMedium2" defaultPivotStyle="PivotStyleLight16"/>
  <colors>
    <mruColors>
      <color rgb="FF428E30"/>
      <color rgb="FF0000FF"/>
      <color rgb="FF4277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gov.mb.ca/agriculture/farm-management/farm-business-management-contacts.html" TargetMode="External"/><Relationship Id="rId1" Type="http://schemas.openxmlformats.org/officeDocument/2006/relationships/hyperlink" Target="http://www.gov.mb.ca/agriculture/business-and-economics/farm-business-management-contacts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64</xdr:row>
      <xdr:rowOff>76200</xdr:rowOff>
    </xdr:from>
    <xdr:to>
      <xdr:col>13</xdr:col>
      <xdr:colOff>372943</xdr:colOff>
      <xdr:row>97</xdr:row>
      <xdr:rowOff>170471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3192125"/>
          <a:ext cx="7611943" cy="63807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1476373</xdr:colOff>
      <xdr:row>86</xdr:row>
      <xdr:rowOff>76198</xdr:rowOff>
    </xdr:from>
    <xdr:to>
      <xdr:col>3</xdr:col>
      <xdr:colOff>381000</xdr:colOff>
      <xdr:row>87</xdr:row>
      <xdr:rowOff>0</xdr:rowOff>
    </xdr:to>
    <xdr:sp macro="" textlink="">
      <xdr:nvSpPr>
        <xdr:cNvPr id="18" name="TextBox 17">
          <a:hlinkClick xmlns:r="http://schemas.openxmlformats.org/officeDocument/2006/relationships" r:id="rId1" tooltip="Click here for list of MAFRD Farm Management Contacts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505198" y="12868273"/>
          <a:ext cx="1266827" cy="2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2</xdr:col>
      <xdr:colOff>343958</xdr:colOff>
      <xdr:row>86</xdr:row>
      <xdr:rowOff>66676</xdr:rowOff>
    </xdr:from>
    <xdr:to>
      <xdr:col>8</xdr:col>
      <xdr:colOff>866775</xdr:colOff>
      <xdr:row>88</xdr:row>
      <xdr:rowOff>57151</xdr:rowOff>
    </xdr:to>
    <xdr:sp macro="" textlink="">
      <xdr:nvSpPr>
        <xdr:cNvPr id="19" name="TextBox 18">
          <a:hlinkClick xmlns:r="http://schemas.openxmlformats.org/officeDocument/2006/relationships" r:id="rId2" tooltip="Click here for list of Manitoba Agriculture Farm Management Contacts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82108" y="16316326"/>
          <a:ext cx="5704417" cy="285750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CA" sz="1100" b="1" i="0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Manitoba Agriculture and Resource Development Farm Management</a:t>
          </a:r>
          <a:endParaRPr lang="en-CA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28575</xdr:colOff>
      <xdr:row>29</xdr:row>
      <xdr:rowOff>114299</xdr:rowOff>
    </xdr:from>
    <xdr:to>
      <xdr:col>6</xdr:col>
      <xdr:colOff>800100</xdr:colOff>
      <xdr:row>31</xdr:row>
      <xdr:rowOff>68790</xdr:rowOff>
    </xdr:to>
    <xdr:sp macro="[0]!reset1" textlink="">
      <xdr:nvSpPr>
        <xdr:cNvPr id="13" name="Rounded 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086100" y="5867399"/>
          <a:ext cx="1685925" cy="354541"/>
        </a:xfrm>
        <a:prstGeom prst="roundRect">
          <a:avLst/>
        </a:prstGeom>
        <a:solidFill>
          <a:schemeClr val="bg1">
            <a:lumMod val="85000"/>
          </a:schemeClr>
        </a:solidFill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Reset #1</a:t>
          </a:r>
          <a:endParaRPr lang="en-US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8</xdr:col>
      <xdr:colOff>28575</xdr:colOff>
      <xdr:row>29</xdr:row>
      <xdr:rowOff>104775</xdr:rowOff>
    </xdr:from>
    <xdr:to>
      <xdr:col>9</xdr:col>
      <xdr:colOff>800100</xdr:colOff>
      <xdr:row>31</xdr:row>
      <xdr:rowOff>59266</xdr:rowOff>
    </xdr:to>
    <xdr:sp macro="[0]!reset2" textlink="">
      <xdr:nvSpPr>
        <xdr:cNvPr id="14" name="Rounded 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162550" y="5857875"/>
          <a:ext cx="1685925" cy="354541"/>
        </a:xfrm>
        <a:prstGeom prst="roundRect">
          <a:avLst/>
        </a:prstGeom>
        <a:solidFill>
          <a:schemeClr val="bg1">
            <a:lumMod val="85000"/>
          </a:schemeClr>
        </a:solidFill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Reset #2</a:t>
          </a:r>
          <a:endParaRPr lang="en-US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11</xdr:col>
      <xdr:colOff>19050</xdr:colOff>
      <xdr:row>29</xdr:row>
      <xdr:rowOff>104775</xdr:rowOff>
    </xdr:from>
    <xdr:to>
      <xdr:col>12</xdr:col>
      <xdr:colOff>790575</xdr:colOff>
      <xdr:row>31</xdr:row>
      <xdr:rowOff>59266</xdr:rowOff>
    </xdr:to>
    <xdr:sp macro="[0]!reset3" textlink="">
      <xdr:nvSpPr>
        <xdr:cNvPr id="21" name="Rounded 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229475" y="5857875"/>
          <a:ext cx="1685925" cy="354541"/>
        </a:xfrm>
        <a:prstGeom prst="roundRect">
          <a:avLst/>
        </a:prstGeom>
        <a:solidFill>
          <a:schemeClr val="bg1">
            <a:lumMod val="85000"/>
          </a:schemeClr>
        </a:solidFill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Reset #3</a:t>
          </a:r>
          <a:endParaRPr lang="en-US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 editAs="oneCell">
    <xdr:from>
      <xdr:col>2</xdr:col>
      <xdr:colOff>57150</xdr:colOff>
      <xdr:row>1</xdr:row>
      <xdr:rowOff>180975</xdr:rowOff>
    </xdr:from>
    <xdr:to>
      <xdr:col>3</xdr:col>
      <xdr:colOff>790575</xdr:colOff>
      <xdr:row>4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83E244A-3863-444F-8EBD-619665C6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71475"/>
          <a:ext cx="24669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285749</xdr:colOff>
      <xdr:row>6</xdr:row>
      <xdr:rowOff>0</xdr:rowOff>
    </xdr:from>
    <xdr:to>
      <xdr:col>9</xdr:col>
      <xdr:colOff>885825</xdr:colOff>
      <xdr:row>8</xdr:row>
      <xdr:rowOff>123825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38EAEBD7-D9D6-435D-A731-00F4A2A2A5A3}"/>
            </a:ext>
          </a:extLst>
        </xdr:cNvPr>
        <xdr:cNvSpPr>
          <a:spLocks noChangeAspect="1" noChangeArrowheads="1"/>
        </xdr:cNvSpPr>
      </xdr:nvSpPr>
      <xdr:spPr bwMode="auto">
        <a:xfrm>
          <a:off x="438149" y="1143000"/>
          <a:ext cx="7115176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1076325</xdr:colOff>
      <xdr:row>5</xdr:row>
      <xdr:rowOff>152400</xdr:rowOff>
    </xdr:from>
    <xdr:to>
      <xdr:col>2</xdr:col>
      <xdr:colOff>1381125</xdr:colOff>
      <xdr:row>6</xdr:row>
      <xdr:rowOff>266700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96146FC3-1801-425A-9D65-B030BC74E349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>
    <pageSetUpPr fitToPage="1"/>
  </sheetPr>
  <dimension ref="A1:W114"/>
  <sheetViews>
    <sheetView zoomScaleNormal="100" workbookViewId="0">
      <selection activeCell="I34" sqref="I34"/>
    </sheetView>
  </sheetViews>
  <sheetFormatPr defaultColWidth="9.140625" defaultRowHeight="15" x14ac:dyDescent="0.25"/>
  <cols>
    <col min="1" max="1" width="2.85546875" style="206" customWidth="1"/>
    <col min="2" max="22" width="9.140625" style="206"/>
    <col min="23" max="23" width="2.28515625" style="206" customWidth="1"/>
    <col min="24" max="16384" width="9.140625" style="206"/>
  </cols>
  <sheetData>
    <row r="1" spans="1:23" ht="23.25" x14ac:dyDescent="0.35">
      <c r="A1" s="207"/>
      <c r="B1" s="285" t="s">
        <v>754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6"/>
    </row>
    <row r="2" spans="1:23" ht="15.75" x14ac:dyDescent="0.25">
      <c r="A2" s="208"/>
      <c r="B2" s="209" t="s">
        <v>755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1"/>
    </row>
    <row r="3" spans="1:23" x14ac:dyDescent="0.25">
      <c r="A3" s="208"/>
      <c r="B3" s="212" t="s">
        <v>756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1"/>
    </row>
    <row r="4" spans="1:23" x14ac:dyDescent="0.25">
      <c r="A4" s="208"/>
      <c r="B4" s="212" t="s">
        <v>757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1"/>
    </row>
    <row r="5" spans="1:23" ht="15.75" x14ac:dyDescent="0.25">
      <c r="A5" s="208"/>
      <c r="B5" s="209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1"/>
    </row>
    <row r="6" spans="1:23" x14ac:dyDescent="0.25">
      <c r="A6" s="208"/>
      <c r="B6" s="212" t="s">
        <v>804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1"/>
    </row>
    <row r="7" spans="1:23" x14ac:dyDescent="0.25">
      <c r="A7" s="208"/>
      <c r="B7" s="212" t="s">
        <v>805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1"/>
    </row>
    <row r="8" spans="1:23" x14ac:dyDescent="0.25">
      <c r="A8" s="208"/>
      <c r="B8" s="212" t="s">
        <v>758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1"/>
    </row>
    <row r="9" spans="1:23" x14ac:dyDescent="0.25">
      <c r="A9" s="208"/>
      <c r="B9" s="212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1"/>
    </row>
    <row r="10" spans="1:23" ht="15.75" x14ac:dyDescent="0.25">
      <c r="A10" s="208"/>
      <c r="B10" s="209" t="s">
        <v>759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1"/>
    </row>
    <row r="11" spans="1:23" x14ac:dyDescent="0.25">
      <c r="A11" s="208"/>
      <c r="B11" s="212" t="s">
        <v>760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1"/>
    </row>
    <row r="12" spans="1:23" x14ac:dyDescent="0.25">
      <c r="A12" s="208"/>
      <c r="B12" s="212" t="s">
        <v>761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1"/>
    </row>
    <row r="13" spans="1:23" x14ac:dyDescent="0.25">
      <c r="A13" s="208"/>
      <c r="B13" s="212" t="s">
        <v>791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1"/>
    </row>
    <row r="14" spans="1:23" x14ac:dyDescent="0.25">
      <c r="A14" s="208"/>
      <c r="B14" s="212" t="s">
        <v>792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1"/>
    </row>
    <row r="15" spans="1:23" x14ac:dyDescent="0.25">
      <c r="A15" s="208"/>
      <c r="B15" s="213" t="s">
        <v>793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1"/>
    </row>
    <row r="16" spans="1:23" x14ac:dyDescent="0.25">
      <c r="A16" s="208"/>
      <c r="B16" s="212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1"/>
    </row>
    <row r="17" spans="1:23" ht="15.75" x14ac:dyDescent="0.25">
      <c r="A17" s="208"/>
      <c r="B17" s="214" t="s">
        <v>762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1"/>
    </row>
    <row r="18" spans="1:23" x14ac:dyDescent="0.25">
      <c r="A18" s="208"/>
      <c r="B18" s="212" t="s">
        <v>763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1"/>
    </row>
    <row r="19" spans="1:23" x14ac:dyDescent="0.25">
      <c r="A19" s="208"/>
      <c r="B19" s="212" t="s">
        <v>794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1"/>
    </row>
    <row r="20" spans="1:23" x14ac:dyDescent="0.25">
      <c r="A20" s="208"/>
      <c r="B20" s="212" t="s">
        <v>795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1"/>
    </row>
    <row r="21" spans="1:23" x14ac:dyDescent="0.25">
      <c r="A21" s="208"/>
      <c r="B21" s="212" t="s">
        <v>796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1"/>
    </row>
    <row r="22" spans="1:23" x14ac:dyDescent="0.25">
      <c r="A22" s="208"/>
      <c r="B22" s="212" t="s">
        <v>797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1"/>
    </row>
    <row r="23" spans="1:23" x14ac:dyDescent="0.25">
      <c r="A23" s="208"/>
      <c r="B23" s="212" t="s">
        <v>798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1"/>
    </row>
    <row r="24" spans="1:23" x14ac:dyDescent="0.25">
      <c r="A24" s="208"/>
      <c r="B24" s="212" t="s">
        <v>799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1"/>
    </row>
    <row r="25" spans="1:23" x14ac:dyDescent="0.25">
      <c r="A25" s="208"/>
      <c r="B25" s="212" t="s">
        <v>800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1"/>
    </row>
    <row r="26" spans="1:23" x14ac:dyDescent="0.25">
      <c r="A26" s="208"/>
      <c r="B26" s="212" t="s">
        <v>801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1"/>
    </row>
    <row r="27" spans="1:23" ht="15.75" x14ac:dyDescent="0.25">
      <c r="A27" s="208"/>
      <c r="B27" s="209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1"/>
    </row>
    <row r="28" spans="1:23" ht="15.75" x14ac:dyDescent="0.25">
      <c r="A28" s="208"/>
      <c r="B28" s="214" t="s">
        <v>764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1"/>
    </row>
    <row r="29" spans="1:23" x14ac:dyDescent="0.25">
      <c r="A29" s="208"/>
      <c r="B29" s="212" t="s">
        <v>765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1"/>
    </row>
    <row r="30" spans="1:23" x14ac:dyDescent="0.25">
      <c r="A30" s="208"/>
      <c r="B30" s="212" t="s">
        <v>803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1"/>
    </row>
    <row r="31" spans="1:23" x14ac:dyDescent="0.25">
      <c r="A31" s="208"/>
      <c r="B31" s="212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1"/>
    </row>
    <row r="32" spans="1:23" ht="15.75" x14ac:dyDescent="0.25">
      <c r="A32" s="208"/>
      <c r="B32" s="209" t="s">
        <v>766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1"/>
    </row>
    <row r="33" spans="1:23" x14ac:dyDescent="0.25">
      <c r="A33" s="208"/>
      <c r="B33" s="212" t="s">
        <v>802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1"/>
    </row>
    <row r="34" spans="1:23" x14ac:dyDescent="0.25">
      <c r="A34" s="208"/>
      <c r="B34" s="212" t="s">
        <v>767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1"/>
    </row>
    <row r="35" spans="1:23" x14ac:dyDescent="0.25">
      <c r="A35" s="208"/>
      <c r="B35" s="212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1"/>
    </row>
    <row r="36" spans="1:23" ht="15.75" x14ac:dyDescent="0.25">
      <c r="A36" s="208"/>
      <c r="B36" s="209" t="s">
        <v>768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1"/>
    </row>
    <row r="37" spans="1:23" x14ac:dyDescent="0.25">
      <c r="A37" s="208"/>
      <c r="B37" s="212" t="s">
        <v>769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1"/>
    </row>
    <row r="38" spans="1:23" x14ac:dyDescent="0.25">
      <c r="A38" s="208"/>
      <c r="B38" s="212" t="s">
        <v>770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1"/>
    </row>
    <row r="39" spans="1:23" x14ac:dyDescent="0.25">
      <c r="A39" s="208"/>
      <c r="B39" s="212" t="s">
        <v>771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1"/>
    </row>
    <row r="40" spans="1:23" x14ac:dyDescent="0.25">
      <c r="A40" s="208"/>
      <c r="B40" s="212" t="s">
        <v>772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1"/>
    </row>
    <row r="41" spans="1:23" x14ac:dyDescent="0.25">
      <c r="A41" s="208"/>
      <c r="B41" s="212" t="s">
        <v>773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1"/>
    </row>
    <row r="42" spans="1:23" ht="15.75" x14ac:dyDescent="0.25">
      <c r="A42" s="208"/>
      <c r="B42" s="215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1"/>
    </row>
    <row r="43" spans="1:23" ht="15.75" x14ac:dyDescent="0.25">
      <c r="A43" s="208"/>
      <c r="B43" s="209" t="s">
        <v>774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7"/>
    </row>
    <row r="44" spans="1:23" x14ac:dyDescent="0.25">
      <c r="A44" s="208"/>
      <c r="B44" s="210" t="s">
        <v>775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1"/>
    </row>
    <row r="45" spans="1:23" x14ac:dyDescent="0.25">
      <c r="A45" s="208"/>
      <c r="B45" s="210" t="s">
        <v>776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1"/>
    </row>
    <row r="46" spans="1:23" x14ac:dyDescent="0.25">
      <c r="A46" s="208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1"/>
    </row>
    <row r="47" spans="1:23" ht="15.75" x14ac:dyDescent="0.25">
      <c r="A47" s="208"/>
      <c r="B47" s="209" t="s">
        <v>777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7"/>
    </row>
    <row r="48" spans="1:23" x14ac:dyDescent="0.25">
      <c r="A48" s="208"/>
      <c r="B48" s="210" t="s">
        <v>778</v>
      </c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1"/>
    </row>
    <row r="49" spans="1:23" x14ac:dyDescent="0.25">
      <c r="A49" s="208"/>
      <c r="B49" s="210" t="s">
        <v>779</v>
      </c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1"/>
    </row>
    <row r="50" spans="1:23" x14ac:dyDescent="0.25">
      <c r="A50" s="208"/>
      <c r="B50" s="210" t="s">
        <v>780</v>
      </c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1"/>
    </row>
    <row r="51" spans="1:23" x14ac:dyDescent="0.25">
      <c r="A51" s="208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1"/>
    </row>
    <row r="52" spans="1:23" ht="15.75" x14ac:dyDescent="0.25">
      <c r="A52" s="208"/>
      <c r="B52" s="209" t="s">
        <v>781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7"/>
    </row>
    <row r="53" spans="1:23" x14ac:dyDescent="0.25">
      <c r="A53" s="208"/>
      <c r="B53" s="210" t="s">
        <v>782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1"/>
    </row>
    <row r="54" spans="1:23" x14ac:dyDescent="0.25">
      <c r="A54" s="208"/>
      <c r="B54" s="218" t="s">
        <v>783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1"/>
    </row>
    <row r="55" spans="1:23" x14ac:dyDescent="0.25">
      <c r="A55" s="208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1"/>
    </row>
    <row r="56" spans="1:23" ht="15.75" x14ac:dyDescent="0.25">
      <c r="A56" s="208"/>
      <c r="B56" s="209" t="s">
        <v>784</v>
      </c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1"/>
    </row>
    <row r="57" spans="1:23" x14ac:dyDescent="0.25">
      <c r="A57" s="208"/>
      <c r="B57" s="212" t="s">
        <v>785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1"/>
    </row>
    <row r="58" spans="1:23" x14ac:dyDescent="0.25">
      <c r="A58" s="208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1"/>
    </row>
    <row r="59" spans="1:23" ht="15.75" x14ac:dyDescent="0.25">
      <c r="A59" s="208"/>
      <c r="B59" s="209" t="s">
        <v>786</v>
      </c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7"/>
    </row>
    <row r="60" spans="1:23" x14ac:dyDescent="0.25">
      <c r="A60" s="208"/>
      <c r="B60" s="210" t="s">
        <v>787</v>
      </c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1"/>
    </row>
    <row r="61" spans="1:23" x14ac:dyDescent="0.25">
      <c r="A61" s="208"/>
      <c r="B61" s="210" t="s">
        <v>788</v>
      </c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1"/>
    </row>
    <row r="62" spans="1:23" x14ac:dyDescent="0.25">
      <c r="A62" s="208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1"/>
    </row>
    <row r="63" spans="1:23" ht="15.75" x14ac:dyDescent="0.25">
      <c r="A63" s="208"/>
      <c r="B63" s="209" t="s">
        <v>789</v>
      </c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7"/>
    </row>
    <row r="64" spans="1:23" x14ac:dyDescent="0.25">
      <c r="A64" s="208"/>
      <c r="B64" s="210" t="s">
        <v>790</v>
      </c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1"/>
    </row>
    <row r="65" spans="1:23" x14ac:dyDescent="0.25">
      <c r="A65" s="208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1"/>
    </row>
    <row r="66" spans="1:23" x14ac:dyDescent="0.25">
      <c r="A66" s="208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1"/>
    </row>
    <row r="67" spans="1:23" x14ac:dyDescent="0.25">
      <c r="A67" s="208"/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1"/>
    </row>
    <row r="68" spans="1:23" x14ac:dyDescent="0.25">
      <c r="A68" s="208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1"/>
    </row>
    <row r="69" spans="1:23" x14ac:dyDescent="0.25">
      <c r="A69" s="208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1"/>
    </row>
    <row r="70" spans="1:23" x14ac:dyDescent="0.25">
      <c r="A70" s="208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1"/>
    </row>
    <row r="71" spans="1:23" x14ac:dyDescent="0.25">
      <c r="A71" s="208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1"/>
    </row>
    <row r="72" spans="1:23" x14ac:dyDescent="0.25">
      <c r="A72" s="208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1"/>
    </row>
    <row r="73" spans="1:23" x14ac:dyDescent="0.25">
      <c r="A73" s="208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1"/>
    </row>
    <row r="74" spans="1:23" x14ac:dyDescent="0.25">
      <c r="A74" s="208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1"/>
    </row>
    <row r="75" spans="1:23" x14ac:dyDescent="0.25">
      <c r="A75" s="208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1"/>
    </row>
    <row r="76" spans="1:23" x14ac:dyDescent="0.25">
      <c r="A76" s="208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1"/>
    </row>
    <row r="77" spans="1:23" x14ac:dyDescent="0.25">
      <c r="A77" s="208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1"/>
    </row>
    <row r="78" spans="1:23" x14ac:dyDescent="0.25">
      <c r="A78" s="208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1"/>
    </row>
    <row r="79" spans="1:23" x14ac:dyDescent="0.25">
      <c r="A79" s="208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1"/>
    </row>
    <row r="80" spans="1:23" x14ac:dyDescent="0.25">
      <c r="A80" s="208"/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1"/>
    </row>
    <row r="81" spans="1:23" x14ac:dyDescent="0.25">
      <c r="A81" s="208"/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1"/>
    </row>
    <row r="82" spans="1:23" x14ac:dyDescent="0.25">
      <c r="A82" s="208"/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1"/>
    </row>
    <row r="83" spans="1:23" x14ac:dyDescent="0.25">
      <c r="A83" s="208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1"/>
    </row>
    <row r="84" spans="1:23" x14ac:dyDescent="0.25">
      <c r="A84" s="208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1"/>
    </row>
    <row r="85" spans="1:23" x14ac:dyDescent="0.25">
      <c r="A85" s="208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1"/>
    </row>
    <row r="86" spans="1:23" x14ac:dyDescent="0.25">
      <c r="A86" s="208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1"/>
    </row>
    <row r="87" spans="1:23" x14ac:dyDescent="0.25">
      <c r="A87" s="208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1"/>
    </row>
    <row r="88" spans="1:23" x14ac:dyDescent="0.25">
      <c r="A88" s="208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1"/>
    </row>
    <row r="89" spans="1:23" x14ac:dyDescent="0.25">
      <c r="A89" s="208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1"/>
    </row>
    <row r="90" spans="1:23" x14ac:dyDescent="0.25">
      <c r="A90" s="208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1"/>
    </row>
    <row r="91" spans="1:23" x14ac:dyDescent="0.25">
      <c r="A91" s="208"/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1"/>
    </row>
    <row r="92" spans="1:23" x14ac:dyDescent="0.25">
      <c r="A92" s="208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1"/>
    </row>
    <row r="93" spans="1:23" x14ac:dyDescent="0.25">
      <c r="A93" s="208"/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1"/>
    </row>
    <row r="94" spans="1:23" x14ac:dyDescent="0.25">
      <c r="A94" s="208"/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1"/>
    </row>
    <row r="95" spans="1:23" x14ac:dyDescent="0.25">
      <c r="A95" s="208"/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1"/>
    </row>
    <row r="96" spans="1:23" x14ac:dyDescent="0.25">
      <c r="A96" s="208"/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1"/>
    </row>
    <row r="97" spans="1:23" x14ac:dyDescent="0.25">
      <c r="A97" s="208"/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1"/>
    </row>
    <row r="98" spans="1:23" x14ac:dyDescent="0.25">
      <c r="A98" s="208"/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1"/>
    </row>
    <row r="99" spans="1:23" x14ac:dyDescent="0.25">
      <c r="A99" s="208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1"/>
    </row>
    <row r="100" spans="1:23" x14ac:dyDescent="0.25">
      <c r="A100" s="207"/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1"/>
    </row>
    <row r="101" spans="1:23" x14ac:dyDescent="0.25"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</row>
    <row r="102" spans="1:23" x14ac:dyDescent="0.25"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</row>
    <row r="103" spans="1:23" x14ac:dyDescent="0.25"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</row>
    <row r="104" spans="1:23" x14ac:dyDescent="0.25"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</row>
    <row r="105" spans="1:23" x14ac:dyDescent="0.25"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</row>
    <row r="106" spans="1:23" x14ac:dyDescent="0.25"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</row>
    <row r="107" spans="1:23" x14ac:dyDescent="0.25"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</row>
    <row r="108" spans="1:23" x14ac:dyDescent="0.25"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</row>
    <row r="109" spans="1:23" x14ac:dyDescent="0.25"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</row>
    <row r="110" spans="1:23" x14ac:dyDescent="0.25"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</row>
    <row r="111" spans="1:23" x14ac:dyDescent="0.25"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</row>
    <row r="112" spans="1:23" x14ac:dyDescent="0.25"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</row>
    <row r="113" spans="2:23" x14ac:dyDescent="0.25"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</row>
    <row r="114" spans="2:23" x14ac:dyDescent="0.25"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</row>
  </sheetData>
  <sheetProtection password="C6A6" sheet="1" objects="1" scenarios="1"/>
  <mergeCells count="1">
    <mergeCell ref="B1:W1"/>
  </mergeCells>
  <pageMargins left="0.70866141732283472" right="0.70866141732283472" top="0.74803149606299213" bottom="0.74803149606299213" header="0.31496062992125984" footer="0.31496062992125984"/>
  <pageSetup scale="45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139"/>
  <sheetViews>
    <sheetView tabSelected="1" zoomScaleNormal="100" workbookViewId="0">
      <selection activeCell="F23" sqref="F23:G23"/>
    </sheetView>
  </sheetViews>
  <sheetFormatPr defaultRowHeight="15" x14ac:dyDescent="0.25"/>
  <cols>
    <col min="1" max="1" width="2.28515625" customWidth="1"/>
    <col min="2" max="2" width="4.28515625" customWidth="1"/>
    <col min="3" max="3" width="26" customWidth="1"/>
    <col min="4" max="4" width="14.7109375" customWidth="1"/>
    <col min="5" max="5" width="1.85546875" customWidth="1"/>
    <col min="6" max="7" width="15.7109375" customWidth="1"/>
    <col min="8" max="8" width="3.7109375" customWidth="1"/>
    <col min="9" max="10" width="15.7109375" customWidth="1"/>
    <col min="11" max="11" width="3.7109375" customWidth="1"/>
    <col min="12" max="13" width="15.7109375" customWidth="1"/>
    <col min="14" max="14" width="3.7109375" customWidth="1"/>
    <col min="15" max="15" width="2.28515625" customWidth="1"/>
    <col min="16" max="16" width="9.140625" hidden="1" customWidth="1"/>
    <col min="17" max="17" width="3.42578125" style="6" hidden="1" customWidth="1"/>
    <col min="18" max="18" width="3.28515625" style="6" hidden="1" customWidth="1"/>
    <col min="19" max="26" width="9.140625" hidden="1" customWidth="1"/>
    <col min="27" max="27" width="3.7109375" hidden="1" customWidth="1"/>
    <col min="28" max="28" width="3.42578125" hidden="1" customWidth="1"/>
  </cols>
  <sheetData>
    <row r="1" spans="1:15" s="221" customFormat="1" x14ac:dyDescent="0.25"/>
    <row r="2" spans="1:15" s="221" customFormat="1" x14ac:dyDescent="0.25"/>
    <row r="3" spans="1:15" s="221" customFormat="1" x14ac:dyDescent="0.25">
      <c r="C3"/>
    </row>
    <row r="4" spans="1:15" s="221" customFormat="1" x14ac:dyDescent="0.25"/>
    <row r="5" spans="1:15" s="221" customFormat="1" x14ac:dyDescent="0.25"/>
    <row r="6" spans="1:15" s="221" customFormat="1" x14ac:dyDescent="0.25"/>
    <row r="7" spans="1:15" s="221" customFormat="1" ht="31.5" x14ac:dyDescent="0.5">
      <c r="C7" s="300" t="s">
        <v>841</v>
      </c>
      <c r="D7" s="301"/>
      <c r="E7" s="301"/>
      <c r="F7" s="301"/>
      <c r="G7" s="302"/>
      <c r="H7" s="302"/>
      <c r="I7" s="302"/>
    </row>
    <row r="8" spans="1:15" s="221" customFormat="1" x14ac:dyDescent="0.25"/>
    <row r="9" spans="1:15" s="221" customFormat="1" x14ac:dyDescent="0.25"/>
    <row r="10" spans="1:15" s="221" customFormat="1" x14ac:dyDescent="0.25"/>
    <row r="11" spans="1:15" s="221" customFormat="1" x14ac:dyDescent="0.25"/>
    <row r="12" spans="1:15" s="221" customFormat="1" x14ac:dyDescent="0.25">
      <c r="B12" s="221" t="s">
        <v>839</v>
      </c>
    </row>
    <row r="13" spans="1:15" s="221" customFormat="1" x14ac:dyDescent="0.25">
      <c r="B13" s="221" t="s">
        <v>840</v>
      </c>
    </row>
    <row r="14" spans="1:15" s="108" customFormat="1" ht="23.25" x14ac:dyDescent="0.35">
      <c r="A14" s="306"/>
      <c r="B14" s="314" t="s">
        <v>751</v>
      </c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06"/>
    </row>
    <row r="15" spans="1:15" s="110" customFormat="1" ht="7.5" customHeight="1" x14ac:dyDescent="0.25">
      <c r="A15" s="311"/>
      <c r="B15" s="109"/>
      <c r="C15" s="109"/>
      <c r="D15" s="109"/>
      <c r="E15" s="109"/>
      <c r="F15" s="109"/>
      <c r="G15" s="109"/>
      <c r="H15" s="109"/>
      <c r="I15" s="109"/>
      <c r="J15" s="107"/>
      <c r="K15" s="109"/>
      <c r="L15" s="109"/>
      <c r="M15" s="109"/>
      <c r="N15" s="109"/>
      <c r="O15" s="307"/>
    </row>
    <row r="16" spans="1:15" s="110" customFormat="1" ht="15" customHeight="1" x14ac:dyDescent="0.25">
      <c r="A16" s="311"/>
      <c r="B16" s="111"/>
      <c r="C16" s="112" t="s">
        <v>726</v>
      </c>
      <c r="D16" s="113">
        <v>1.268</v>
      </c>
      <c r="E16" s="111"/>
      <c r="F16" s="112" t="s">
        <v>731</v>
      </c>
      <c r="G16" s="109"/>
      <c r="H16" s="111"/>
      <c r="I16" s="114">
        <v>0.75</v>
      </c>
      <c r="J16" s="111"/>
      <c r="L16" s="111"/>
      <c r="M16" s="193" t="s">
        <v>748</v>
      </c>
      <c r="N16" s="109"/>
      <c r="O16" s="307"/>
    </row>
    <row r="17" spans="1:28" s="110" customFormat="1" ht="15" customHeight="1" x14ac:dyDescent="0.25">
      <c r="A17" s="311"/>
      <c r="B17" s="111"/>
      <c r="C17" s="112" t="s">
        <v>728</v>
      </c>
      <c r="D17" s="113">
        <v>27</v>
      </c>
      <c r="E17" s="111"/>
      <c r="F17" s="112" t="s">
        <v>727</v>
      </c>
      <c r="G17" s="111"/>
      <c r="H17" s="111"/>
      <c r="I17" s="115">
        <v>0.05</v>
      </c>
      <c r="J17" s="111"/>
      <c r="K17" s="111"/>
      <c r="L17" s="111"/>
      <c r="M17" s="191"/>
      <c r="N17" s="109"/>
      <c r="O17" s="307"/>
    </row>
    <row r="18" spans="1:28" s="110" customFormat="1" ht="15" customHeight="1" x14ac:dyDescent="0.25">
      <c r="A18" s="311"/>
      <c r="B18" s="111"/>
      <c r="C18" s="112" t="s">
        <v>729</v>
      </c>
      <c r="D18" s="114">
        <v>0.8</v>
      </c>
      <c r="E18" s="111"/>
      <c r="F18" s="112" t="s">
        <v>730</v>
      </c>
      <c r="G18" s="111"/>
      <c r="H18" s="111"/>
      <c r="I18" s="116">
        <v>1.4999999999999999E-2</v>
      </c>
      <c r="J18" s="280" t="s">
        <v>750</v>
      </c>
      <c r="K18" s="280"/>
      <c r="L18" s="280"/>
      <c r="M18" s="280"/>
      <c r="N18" s="280"/>
      <c r="O18" s="307"/>
    </row>
    <row r="19" spans="1:28" s="110" customFormat="1" ht="15" customHeight="1" x14ac:dyDescent="0.25">
      <c r="A19" s="311"/>
      <c r="B19" s="111"/>
      <c r="C19" s="112" t="s">
        <v>733</v>
      </c>
      <c r="D19" s="114">
        <v>0.15</v>
      </c>
      <c r="E19" s="111"/>
      <c r="F19" s="112" t="s">
        <v>732</v>
      </c>
      <c r="G19" s="109"/>
      <c r="H19" s="111"/>
      <c r="I19" s="117">
        <v>7</v>
      </c>
      <c r="J19" s="111"/>
      <c r="K19" s="111"/>
      <c r="L19" s="111"/>
      <c r="M19" s="109"/>
      <c r="N19" s="109"/>
      <c r="O19" s="307"/>
      <c r="Q19" s="279" t="s">
        <v>747</v>
      </c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</row>
    <row r="20" spans="1:28" s="110" customFormat="1" ht="15" customHeight="1" x14ac:dyDescent="0.25">
      <c r="A20" s="311"/>
      <c r="B20" s="111"/>
      <c r="C20" s="118" t="s">
        <v>1</v>
      </c>
      <c r="D20" s="115">
        <v>0.01</v>
      </c>
      <c r="E20" s="109"/>
      <c r="F20" s="119" t="s">
        <v>734</v>
      </c>
      <c r="G20" s="109"/>
      <c r="H20" s="111"/>
      <c r="I20" s="117">
        <v>7</v>
      </c>
      <c r="J20" s="111"/>
      <c r="K20" s="111"/>
      <c r="L20" s="111"/>
      <c r="M20" s="109"/>
      <c r="N20" s="109"/>
      <c r="O20" s="30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</row>
    <row r="21" spans="1:28" s="110" customFormat="1" ht="15" customHeight="1" x14ac:dyDescent="0.25">
      <c r="A21" s="311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307"/>
      <c r="Q21" s="187"/>
      <c r="AB21" s="187"/>
    </row>
    <row r="22" spans="1:28" s="108" customFormat="1" ht="18.75" thickBot="1" x14ac:dyDescent="0.3">
      <c r="A22" s="303"/>
      <c r="B22" s="109"/>
      <c r="C22" s="120"/>
      <c r="D22" s="120"/>
      <c r="E22" s="120"/>
      <c r="F22" s="121" t="s">
        <v>309</v>
      </c>
      <c r="G22" s="109"/>
      <c r="H22" s="122"/>
      <c r="I22" s="121" t="s">
        <v>310</v>
      </c>
      <c r="J22" s="109"/>
      <c r="K22" s="109"/>
      <c r="L22" s="276" t="s">
        <v>311</v>
      </c>
      <c r="M22" s="276"/>
      <c r="N22" s="120"/>
      <c r="O22" s="308"/>
      <c r="Q22" s="188"/>
      <c r="S22" s="121" t="s">
        <v>309</v>
      </c>
      <c r="T22" s="109"/>
      <c r="U22" s="122"/>
      <c r="V22" s="121" t="s">
        <v>310</v>
      </c>
      <c r="W22" s="109"/>
      <c r="X22" s="109"/>
      <c r="Y22" s="276" t="s">
        <v>311</v>
      </c>
      <c r="Z22" s="276"/>
      <c r="AB22" s="188"/>
    </row>
    <row r="23" spans="1:28" s="108" customFormat="1" ht="16.5" thickBot="1" x14ac:dyDescent="0.3">
      <c r="A23" s="303"/>
      <c r="B23" s="123" t="s">
        <v>706</v>
      </c>
      <c r="C23" s="120"/>
      <c r="D23" s="120"/>
      <c r="E23" s="120"/>
      <c r="F23" s="282" t="s">
        <v>740</v>
      </c>
      <c r="G23" s="283"/>
      <c r="H23" s="120"/>
      <c r="I23" s="282" t="s">
        <v>740</v>
      </c>
      <c r="J23" s="283"/>
      <c r="K23" s="120"/>
      <c r="L23" s="282" t="s">
        <v>740</v>
      </c>
      <c r="M23" s="283"/>
      <c r="N23" s="120"/>
      <c r="O23" s="308"/>
      <c r="Q23" s="188"/>
      <c r="S23" s="282" t="s">
        <v>740</v>
      </c>
      <c r="T23" s="283"/>
      <c r="U23" s="120"/>
      <c r="V23" s="282" t="s">
        <v>740</v>
      </c>
      <c r="W23" s="283"/>
      <c r="X23" s="120"/>
      <c r="Y23" s="282" t="s">
        <v>740</v>
      </c>
      <c r="Z23" s="283"/>
      <c r="AB23" s="188"/>
    </row>
    <row r="24" spans="1:28" s="108" customFormat="1" ht="7.5" customHeight="1" thickBot="1" x14ac:dyDescent="0.25">
      <c r="A24" s="303"/>
      <c r="B24" s="10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308"/>
      <c r="Q24" s="188"/>
      <c r="S24" s="120"/>
      <c r="T24" s="120"/>
      <c r="U24" s="120"/>
      <c r="V24" s="120"/>
      <c r="W24" s="120"/>
      <c r="X24" s="120"/>
      <c r="Y24" s="120"/>
      <c r="Z24" s="120"/>
      <c r="AB24" s="188"/>
    </row>
    <row r="25" spans="1:28" s="108" customFormat="1" ht="31.5" customHeight="1" thickBot="1" x14ac:dyDescent="0.25">
      <c r="A25" s="303"/>
      <c r="B25" s="124" t="s">
        <v>707</v>
      </c>
      <c r="C25" s="120"/>
      <c r="D25" s="120"/>
      <c r="E25" s="120"/>
      <c r="F25" s="277"/>
      <c r="G25" s="278"/>
      <c r="H25" s="120"/>
      <c r="I25" s="277"/>
      <c r="J25" s="278"/>
      <c r="K25" s="120"/>
      <c r="L25" s="277"/>
      <c r="M25" s="278"/>
      <c r="N25" s="120"/>
      <c r="O25" s="308"/>
      <c r="Q25" s="188"/>
      <c r="S25" s="277"/>
      <c r="T25" s="278"/>
      <c r="U25" s="120"/>
      <c r="V25" s="277"/>
      <c r="W25" s="278"/>
      <c r="X25" s="120"/>
      <c r="Y25" s="277"/>
      <c r="Z25" s="278"/>
      <c r="AB25" s="188"/>
    </row>
    <row r="26" spans="1:28" s="108" customFormat="1" ht="7.5" customHeight="1" thickBot="1" x14ac:dyDescent="0.3">
      <c r="A26" s="303"/>
      <c r="B26" s="123"/>
      <c r="C26" s="120"/>
      <c r="D26" s="120"/>
      <c r="E26" s="120"/>
      <c r="F26" s="125"/>
      <c r="G26" s="125"/>
      <c r="H26" s="120"/>
      <c r="I26" s="125"/>
      <c r="J26" s="125"/>
      <c r="K26" s="120"/>
      <c r="L26" s="125"/>
      <c r="M26" s="125"/>
      <c r="N26" s="120"/>
      <c r="O26" s="308"/>
      <c r="Q26" s="188"/>
      <c r="S26" s="125"/>
      <c r="T26" s="125"/>
      <c r="U26" s="120"/>
      <c r="V26" s="125"/>
      <c r="W26" s="125"/>
      <c r="X26" s="120"/>
      <c r="Y26" s="125"/>
      <c r="Z26" s="125"/>
      <c r="AB26" s="188"/>
    </row>
    <row r="27" spans="1:28" s="108" customFormat="1" ht="86.25" customHeight="1" thickBot="1" x14ac:dyDescent="0.25">
      <c r="A27" s="303"/>
      <c r="B27" s="124" t="s">
        <v>708</v>
      </c>
      <c r="C27" s="120"/>
      <c r="D27" s="120"/>
      <c r="E27" s="120"/>
      <c r="F27" s="277"/>
      <c r="G27" s="278"/>
      <c r="H27" s="120"/>
      <c r="I27" s="277"/>
      <c r="J27" s="278"/>
      <c r="K27" s="120"/>
      <c r="L27" s="277"/>
      <c r="M27" s="278"/>
      <c r="N27" s="120"/>
      <c r="O27" s="308"/>
      <c r="Q27" s="188"/>
      <c r="S27" s="277"/>
      <c r="T27" s="278"/>
      <c r="U27" s="120"/>
      <c r="V27" s="277"/>
      <c r="W27" s="278"/>
      <c r="X27" s="120"/>
      <c r="Y27" s="277"/>
      <c r="Z27" s="278"/>
      <c r="AB27" s="188"/>
    </row>
    <row r="28" spans="1:28" s="108" customFormat="1" ht="60" hidden="1" customHeight="1" x14ac:dyDescent="0.25">
      <c r="A28" s="303"/>
      <c r="B28" s="120"/>
      <c r="C28" s="192" t="s">
        <v>749</v>
      </c>
      <c r="D28" s="120"/>
      <c r="E28" s="120"/>
      <c r="F28" s="126" t="str">
        <f>F23&amp;" "&amp;F25&amp;" "&amp;F27</f>
        <v xml:space="preserve">(Select Category)  </v>
      </c>
      <c r="G28" s="109"/>
      <c r="H28" s="109"/>
      <c r="I28" s="126" t="str">
        <f>I23&amp;" "&amp;I25&amp;" "&amp;I27</f>
        <v xml:space="preserve">(Select Category)  </v>
      </c>
      <c r="J28" s="109"/>
      <c r="K28" s="109"/>
      <c r="L28" s="126" t="str">
        <f>L23&amp;" "&amp;L25&amp;" "&amp;L27</f>
        <v xml:space="preserve">(Select Category)  </v>
      </c>
      <c r="M28" s="109"/>
      <c r="N28" s="120"/>
      <c r="O28" s="308"/>
      <c r="Q28" s="188"/>
      <c r="S28" s="126" t="str">
        <f>S23&amp;" "&amp;S25&amp;" "&amp;S27</f>
        <v xml:space="preserve">(Select Category)  </v>
      </c>
      <c r="T28" s="109"/>
      <c r="U28" s="109"/>
      <c r="V28" s="126" t="str">
        <f>V23&amp;" "&amp;V25&amp;" "&amp;V27</f>
        <v xml:space="preserve">(Select Category)  </v>
      </c>
      <c r="W28" s="109"/>
      <c r="X28" s="109"/>
      <c r="Y28" s="126" t="str">
        <f>Y23&amp;" "&amp;Y25&amp;" "&amp;Y27</f>
        <v xml:space="preserve">(Select Category)  </v>
      </c>
      <c r="Z28" s="109"/>
      <c r="AB28" s="188"/>
    </row>
    <row r="29" spans="1:28" s="108" customFormat="1" ht="33.75" customHeight="1" x14ac:dyDescent="0.25">
      <c r="A29" s="303"/>
      <c r="B29" s="120"/>
      <c r="C29" s="112"/>
      <c r="D29" s="120"/>
      <c r="E29" s="120"/>
      <c r="F29" s="109"/>
      <c r="G29" s="109"/>
      <c r="H29" s="109"/>
      <c r="I29" s="109"/>
      <c r="J29" s="109"/>
      <c r="K29" s="109"/>
      <c r="L29" s="109"/>
      <c r="M29" s="109"/>
      <c r="N29" s="120"/>
      <c r="O29" s="308"/>
      <c r="Q29" s="188"/>
      <c r="S29" s="109"/>
      <c r="T29" s="109"/>
      <c r="U29" s="109"/>
      <c r="V29" s="109"/>
      <c r="W29" s="109"/>
      <c r="X29" s="109"/>
      <c r="Y29" s="109"/>
      <c r="Z29" s="109"/>
      <c r="AB29" s="188"/>
    </row>
    <row r="30" spans="1:28" s="108" customFormat="1" ht="15.75" customHeight="1" x14ac:dyDescent="0.25">
      <c r="A30" s="303"/>
      <c r="B30" s="120"/>
      <c r="C30" s="112"/>
      <c r="D30" s="120"/>
      <c r="E30" s="120"/>
      <c r="F30" s="109"/>
      <c r="G30" s="109"/>
      <c r="H30" s="109"/>
      <c r="I30" s="109"/>
      <c r="J30" s="109"/>
      <c r="K30" s="109"/>
      <c r="L30" s="109"/>
      <c r="M30" s="109"/>
      <c r="N30" s="120"/>
      <c r="O30" s="308"/>
      <c r="Q30" s="188"/>
      <c r="S30" s="109"/>
      <c r="T30" s="109"/>
      <c r="U30" s="109"/>
      <c r="V30" s="109"/>
      <c r="W30" s="109"/>
      <c r="X30" s="109"/>
      <c r="Y30" s="109"/>
      <c r="Z30" s="109"/>
      <c r="AB30" s="188"/>
    </row>
    <row r="31" spans="1:28" s="108" customFormat="1" ht="15.75" customHeight="1" x14ac:dyDescent="0.25">
      <c r="A31" s="303"/>
      <c r="B31" s="120"/>
      <c r="C31" s="112"/>
      <c r="D31" s="120"/>
      <c r="E31" s="120"/>
      <c r="F31" s="109"/>
      <c r="G31" s="109"/>
      <c r="H31" s="109"/>
      <c r="I31" s="109"/>
      <c r="J31" s="109"/>
      <c r="K31" s="109"/>
      <c r="L31" s="109"/>
      <c r="M31" s="109"/>
      <c r="N31" s="120"/>
      <c r="O31" s="308"/>
      <c r="Q31" s="188"/>
      <c r="S31" s="109"/>
      <c r="T31" s="109"/>
      <c r="U31" s="109"/>
      <c r="V31" s="109"/>
      <c r="W31" s="109"/>
      <c r="X31" s="109"/>
      <c r="Y31" s="109"/>
      <c r="Z31" s="109"/>
      <c r="AB31" s="188"/>
    </row>
    <row r="32" spans="1:28" s="108" customFormat="1" ht="15.75" customHeight="1" x14ac:dyDescent="0.25">
      <c r="A32" s="303"/>
      <c r="B32" s="120"/>
      <c r="C32" s="112"/>
      <c r="D32" s="120"/>
      <c r="E32" s="120"/>
      <c r="F32" s="109"/>
      <c r="G32" s="109"/>
      <c r="H32" s="109"/>
      <c r="I32" s="109"/>
      <c r="J32" s="109"/>
      <c r="K32" s="109"/>
      <c r="L32" s="109"/>
      <c r="M32" s="109"/>
      <c r="N32" s="120"/>
      <c r="O32" s="308"/>
      <c r="Q32" s="188"/>
      <c r="S32" s="109"/>
      <c r="T32" s="109"/>
      <c r="U32" s="109"/>
      <c r="V32" s="109"/>
      <c r="W32" s="109"/>
      <c r="X32" s="109"/>
      <c r="Y32" s="109"/>
      <c r="Z32" s="109"/>
      <c r="AB32" s="188"/>
    </row>
    <row r="33" spans="1:28" s="108" customFormat="1" ht="15.75" x14ac:dyDescent="0.25">
      <c r="A33" s="303"/>
      <c r="B33" s="281" t="s">
        <v>741</v>
      </c>
      <c r="C33" s="281"/>
      <c r="D33" s="281"/>
      <c r="E33" s="120"/>
      <c r="F33" s="127"/>
      <c r="G33" s="109"/>
      <c r="H33" s="109"/>
      <c r="I33" s="127"/>
      <c r="J33" s="109"/>
      <c r="K33" s="109"/>
      <c r="L33" s="127"/>
      <c r="M33" s="109"/>
      <c r="N33" s="120"/>
      <c r="O33" s="308"/>
      <c r="Q33" s="188"/>
      <c r="S33" s="127"/>
      <c r="T33" s="109"/>
      <c r="U33" s="109"/>
      <c r="V33" s="127"/>
      <c r="W33" s="109"/>
      <c r="X33" s="109"/>
      <c r="Y33" s="127"/>
      <c r="Z33" s="109"/>
      <c r="AB33" s="188"/>
    </row>
    <row r="34" spans="1:28" s="108" customFormat="1" x14ac:dyDescent="0.25">
      <c r="A34" s="303"/>
      <c r="B34" s="120" t="s">
        <v>722</v>
      </c>
      <c r="C34" s="120"/>
      <c r="D34" s="120"/>
      <c r="E34" s="112"/>
      <c r="F34" s="249">
        <f>IF(F27="",0,VLOOKUP($F$28,DATA!$A$6:$AQ$159,6,FALSE))</f>
        <v>0</v>
      </c>
      <c r="G34" s="120"/>
      <c r="H34" s="112"/>
      <c r="I34" s="249">
        <f>IF(I27="",0,VLOOKUP($I$28,DATA!$A$6:$AQ$159,6,FALSE))</f>
        <v>0</v>
      </c>
      <c r="J34" s="129"/>
      <c r="K34" s="120"/>
      <c r="L34" s="249">
        <f>IF(L27="",0,VLOOKUP($L$28,DATA!$A$6:$AQ$159,6,FALSE))</f>
        <v>0</v>
      </c>
      <c r="M34" s="120"/>
      <c r="N34" s="120"/>
      <c r="O34" s="308"/>
      <c r="Q34" s="188"/>
      <c r="S34" s="128">
        <f>IF(S27="",0,VLOOKUP($F$28,DATA!$A$6:$AQ$159,6,FALSE))</f>
        <v>0</v>
      </c>
      <c r="T34" s="120"/>
      <c r="U34" s="112"/>
      <c r="V34" s="128">
        <f>IF(V27="",0,VLOOKUP($I$28,DATA!$A$6:$AQ$159,6,FALSE))</f>
        <v>0</v>
      </c>
      <c r="W34" s="129"/>
      <c r="X34" s="120"/>
      <c r="Y34" s="128">
        <f>IF(Y27="",0,VLOOKUP($L$28,DATA!$A$6:$AQ$159,6,FALSE))</f>
        <v>0</v>
      </c>
      <c r="Z34" s="120"/>
      <c r="AB34" s="188"/>
    </row>
    <row r="35" spans="1:28" s="108" customFormat="1" x14ac:dyDescent="0.25">
      <c r="A35" s="303"/>
      <c r="B35" s="120" t="s">
        <v>315</v>
      </c>
      <c r="C35" s="120"/>
      <c r="D35" s="120"/>
      <c r="E35" s="120"/>
      <c r="F35" s="250">
        <f>IF(F27="",0,VLOOKUP($F$28,DATA!$A$6:$AQ$159,25,FALSE))</f>
        <v>0</v>
      </c>
      <c r="G35" s="120" t="s">
        <v>316</v>
      </c>
      <c r="H35" s="120"/>
      <c r="I35" s="250">
        <f>IF(I27="",0,VLOOKUP($I$28,DATA!$A$6:$AQ$159,25,FALSE))</f>
        <v>0</v>
      </c>
      <c r="J35" s="120" t="s">
        <v>316</v>
      </c>
      <c r="K35" s="120"/>
      <c r="L35" s="250">
        <f>IF(L27="",0,VLOOKUP($L$28,DATA!$A$6:$AQ$159,25,FALSE))</f>
        <v>0</v>
      </c>
      <c r="M35" s="120" t="s">
        <v>316</v>
      </c>
      <c r="N35" s="120"/>
      <c r="O35" s="308"/>
      <c r="Q35" s="188"/>
      <c r="S35" s="130">
        <f>IF(S27="",0,VLOOKUP($F$28,DATA!$A$6:$AQ$159,25,FALSE))</f>
        <v>0</v>
      </c>
      <c r="T35" s="120" t="s">
        <v>316</v>
      </c>
      <c r="U35" s="120"/>
      <c r="V35" s="130">
        <f>IF(V27="",0,VLOOKUP($I$28,DATA!$A$6:$AQ$159,25,FALSE))</f>
        <v>0</v>
      </c>
      <c r="W35" s="120" t="s">
        <v>316</v>
      </c>
      <c r="X35" s="120"/>
      <c r="Y35" s="130">
        <f>IF(Y27="",0,VLOOKUP($L$28,DATA!$A$6:$AQ$159,25,FALSE))</f>
        <v>0</v>
      </c>
      <c r="Z35" s="120" t="s">
        <v>316</v>
      </c>
      <c r="AB35" s="188"/>
    </row>
    <row r="36" spans="1:28" s="108" customFormat="1" x14ac:dyDescent="0.25">
      <c r="A36" s="303"/>
      <c r="B36" s="120" t="s">
        <v>313</v>
      </c>
      <c r="C36" s="120"/>
      <c r="D36" s="120"/>
      <c r="E36" s="120"/>
      <c r="F36" s="250">
        <f>IF(F27="",0,VLOOKUP($F$28,DATA!$A$6:$AQ$159,24,FALSE))</f>
        <v>0</v>
      </c>
      <c r="G36" s="120" t="s">
        <v>314</v>
      </c>
      <c r="H36" s="120"/>
      <c r="I36" s="250">
        <f>IF(I27="",0,VLOOKUP($I$28,DATA!$A$6:$AQ$159,24,FALSE))</f>
        <v>0</v>
      </c>
      <c r="J36" s="120" t="s">
        <v>314</v>
      </c>
      <c r="K36" s="120"/>
      <c r="L36" s="250">
        <f>IF(L27="",0,VLOOKUP($L$28,DATA!$A$6:$AQ$159,24,FALSE))</f>
        <v>0</v>
      </c>
      <c r="M36" s="120" t="s">
        <v>314</v>
      </c>
      <c r="N36" s="120"/>
      <c r="O36" s="308"/>
      <c r="Q36" s="188"/>
      <c r="S36" s="130">
        <f>IF(S27="",0,VLOOKUP($F$28,DATA!$A$6:$AQ$159,24,FALSE))</f>
        <v>0</v>
      </c>
      <c r="T36" s="120" t="s">
        <v>314</v>
      </c>
      <c r="U36" s="120"/>
      <c r="V36" s="130">
        <f>IF(V27="",0,VLOOKUP($I$28,DATA!$A$6:$AQ$159,24,FALSE))</f>
        <v>0</v>
      </c>
      <c r="W36" s="120" t="s">
        <v>314</v>
      </c>
      <c r="X36" s="120"/>
      <c r="Y36" s="130">
        <f>IF(Y27="",0,VLOOKUP($L$28,DATA!$A$6:$AQ$159,24,FALSE))</f>
        <v>0</v>
      </c>
      <c r="Z36" s="120" t="s">
        <v>314</v>
      </c>
      <c r="AB36" s="188"/>
    </row>
    <row r="37" spans="1:28" s="108" customFormat="1" x14ac:dyDescent="0.25">
      <c r="A37" s="303"/>
      <c r="B37" s="120" t="s">
        <v>719</v>
      </c>
      <c r="C37" s="120"/>
      <c r="D37" s="120"/>
      <c r="E37" s="120"/>
      <c r="F37" s="251">
        <f>IF(F34=0,0,Fraction_dep_over_optimal_life)</f>
        <v>0</v>
      </c>
      <c r="G37" s="120"/>
      <c r="H37" s="120"/>
      <c r="I37" s="251">
        <f>IF(I34=0,0,Fraction_dep_over_optimal_life)</f>
        <v>0</v>
      </c>
      <c r="J37" s="120"/>
      <c r="K37" s="120"/>
      <c r="L37" s="251">
        <f>IF(L34=0,0,Fraction_dep_over_optimal_life)</f>
        <v>0</v>
      </c>
      <c r="M37" s="120"/>
      <c r="N37" s="120"/>
      <c r="O37" s="308"/>
      <c r="Q37" s="188"/>
      <c r="S37" s="131">
        <f>IF(S34=0,0,Fraction_dep_over_optimal_life)</f>
        <v>0</v>
      </c>
      <c r="T37" s="120"/>
      <c r="U37" s="120"/>
      <c r="V37" s="131">
        <f>IF(V34=0,0,Fraction_dep_over_optimal_life)</f>
        <v>0</v>
      </c>
      <c r="W37" s="120"/>
      <c r="X37" s="120"/>
      <c r="Y37" s="131">
        <f>IF(Y34=0,0,Fraction_dep_over_optimal_life)</f>
        <v>0</v>
      </c>
      <c r="Z37" s="120"/>
      <c r="AB37" s="188"/>
    </row>
    <row r="38" spans="1:28" s="108" customFormat="1" x14ac:dyDescent="0.25">
      <c r="A38" s="303"/>
      <c r="B38" s="120" t="s">
        <v>312</v>
      </c>
      <c r="C38" s="120"/>
      <c r="D38" s="120"/>
      <c r="E38" s="112"/>
      <c r="F38" s="132">
        <f>F34*(1-F37)</f>
        <v>0</v>
      </c>
      <c r="G38" s="120"/>
      <c r="H38" s="133"/>
      <c r="I38" s="132">
        <f>I34*(1-I37)</f>
        <v>0</v>
      </c>
      <c r="J38" s="134"/>
      <c r="K38" s="134"/>
      <c r="L38" s="132">
        <f>L34*(1-L37)</f>
        <v>0</v>
      </c>
      <c r="M38" s="134"/>
      <c r="N38" s="120"/>
      <c r="O38" s="308"/>
      <c r="Q38" s="188"/>
      <c r="S38" s="132">
        <f>S34*(1-S37)</f>
        <v>0</v>
      </c>
      <c r="T38" s="120"/>
      <c r="U38" s="133"/>
      <c r="V38" s="132">
        <f>V34*(1-V37)</f>
        <v>0</v>
      </c>
      <c r="W38" s="134"/>
      <c r="X38" s="134"/>
      <c r="Y38" s="132">
        <f>Y34*(1-Y37)</f>
        <v>0</v>
      </c>
      <c r="Z38" s="134"/>
      <c r="AB38" s="188"/>
    </row>
    <row r="39" spans="1:28" s="108" customFormat="1" ht="7.5" customHeight="1" x14ac:dyDescent="0.25">
      <c r="A39" s="303"/>
      <c r="B39" s="112"/>
      <c r="C39" s="120"/>
      <c r="D39" s="120"/>
      <c r="E39" s="120"/>
      <c r="F39" s="135"/>
      <c r="G39" s="120"/>
      <c r="H39" s="120"/>
      <c r="I39" s="136"/>
      <c r="J39" s="120"/>
      <c r="K39" s="120"/>
      <c r="L39" s="136"/>
      <c r="M39" s="120"/>
      <c r="N39" s="120"/>
      <c r="O39" s="308"/>
      <c r="Q39" s="188"/>
      <c r="S39" s="135"/>
      <c r="T39" s="120"/>
      <c r="U39" s="120"/>
      <c r="V39" s="136"/>
      <c r="W39" s="120"/>
      <c r="X39" s="120"/>
      <c r="Y39" s="136"/>
      <c r="Z39" s="120"/>
      <c r="AB39" s="188"/>
    </row>
    <row r="40" spans="1:28" s="108" customFormat="1" ht="15.75" x14ac:dyDescent="0.25">
      <c r="A40" s="303"/>
      <c r="B40" s="281" t="s">
        <v>742</v>
      </c>
      <c r="C40" s="281"/>
      <c r="D40" s="281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308"/>
      <c r="Q40" s="188"/>
      <c r="S40" s="120"/>
      <c r="T40" s="120"/>
      <c r="U40" s="120"/>
      <c r="V40" s="120"/>
      <c r="W40" s="120"/>
      <c r="X40" s="120"/>
      <c r="Y40" s="120"/>
      <c r="Z40" s="120"/>
      <c r="AB40" s="188"/>
    </row>
    <row r="41" spans="1:28" s="108" customFormat="1" x14ac:dyDescent="0.25">
      <c r="A41" s="303"/>
      <c r="B41" s="120" t="s">
        <v>723</v>
      </c>
      <c r="C41" s="120"/>
      <c r="D41" s="120"/>
      <c r="E41" s="120"/>
      <c r="F41" s="250">
        <f>IF(F27="",0,VLOOKUP($F$28,DATA!$A$6:$AQ$159,27,FALSE))</f>
        <v>0</v>
      </c>
      <c r="G41" s="120" t="s">
        <v>744</v>
      </c>
      <c r="H41" s="120"/>
      <c r="I41" s="250">
        <f>IF(I27="",0,VLOOKUP($I$28,DATA!$A$6:$AQ$159,27,FALSE))</f>
        <v>0</v>
      </c>
      <c r="J41" s="120" t="s">
        <v>744</v>
      </c>
      <c r="K41" s="120"/>
      <c r="L41" s="250">
        <f>IF(L27="",0,VLOOKUP($L$28,DATA!$A$6:$AQ$159,27,FALSE))</f>
        <v>0</v>
      </c>
      <c r="M41" s="120" t="s">
        <v>744</v>
      </c>
      <c r="N41" s="120"/>
      <c r="O41" s="308"/>
      <c r="Q41" s="188"/>
      <c r="S41" s="130">
        <f>IF(S27="",0,VLOOKUP($F$28,DATA!$A$6:$AQ$159,27,FALSE))</f>
        <v>0</v>
      </c>
      <c r="T41" s="120" t="s">
        <v>744</v>
      </c>
      <c r="U41" s="120"/>
      <c r="V41" s="130">
        <f>IF(V27="",0,VLOOKUP($I$28,DATA!$A$6:$AQ$159,27,FALSE))</f>
        <v>0</v>
      </c>
      <c r="W41" s="120" t="s">
        <v>744</v>
      </c>
      <c r="X41" s="120"/>
      <c r="Y41" s="130">
        <f>IF(Y27="",0,VLOOKUP($L$28,DATA!$A$6:$AQ$159,27,FALSE))</f>
        <v>0</v>
      </c>
      <c r="Z41" s="120" t="s">
        <v>744</v>
      </c>
      <c r="AB41" s="188"/>
    </row>
    <row r="42" spans="1:28" s="108" customFormat="1" x14ac:dyDescent="0.25">
      <c r="A42" s="303"/>
      <c r="B42" s="120" t="s">
        <v>739</v>
      </c>
      <c r="C42" s="120"/>
      <c r="D42" s="120"/>
      <c r="E42" s="112"/>
      <c r="F42" s="251">
        <f>IF(F27="",0,(VLOOKUP($F$28,DATA!$A$6:$AQ$159,26,FALSE)/100))</f>
        <v>0</v>
      </c>
      <c r="G42" s="120"/>
      <c r="H42" s="133"/>
      <c r="I42" s="251">
        <f>IF(I27="",0,(VLOOKUP($I$28,DATA!$A$6:$AQ$159,26,FALSE)/100))</f>
        <v>0</v>
      </c>
      <c r="J42" s="134"/>
      <c r="K42" s="134"/>
      <c r="L42" s="251">
        <f>IF(L27="",0,(VLOOKUP($L$28,DATA!$A$6:$AQ$159,26,FALSE)/100))</f>
        <v>0</v>
      </c>
      <c r="M42" s="134"/>
      <c r="N42" s="120"/>
      <c r="O42" s="308"/>
      <c r="Q42" s="188"/>
      <c r="S42" s="131">
        <f>IF(S27="",0,(VLOOKUP($F$28,DATA!$A$6:$AQ$159,26,FALSE)/100))</f>
        <v>0</v>
      </c>
      <c r="T42" s="120"/>
      <c r="U42" s="133"/>
      <c r="V42" s="131">
        <f>IF(V27="",0,(VLOOKUP($I$28,DATA!$A$6:$AQ$159,26,FALSE)/100))</f>
        <v>0</v>
      </c>
      <c r="W42" s="134"/>
      <c r="X42" s="134"/>
      <c r="Y42" s="131">
        <f>IF(Y27="",0,(VLOOKUP($L$28,DATA!$A$6:$AQ$159,26,FALSE)/100))</f>
        <v>0</v>
      </c>
      <c r="Z42" s="134"/>
      <c r="AB42" s="188"/>
    </row>
    <row r="43" spans="1:28" s="108" customFormat="1" x14ac:dyDescent="0.25">
      <c r="A43" s="303"/>
      <c r="B43" s="120" t="s">
        <v>738</v>
      </c>
      <c r="C43" s="120"/>
      <c r="D43" s="120"/>
      <c r="E43" s="120"/>
      <c r="F43" s="132">
        <f>F42*F34</f>
        <v>0</v>
      </c>
      <c r="G43" s="120"/>
      <c r="H43" s="120"/>
      <c r="I43" s="132">
        <f>I42*I34</f>
        <v>0</v>
      </c>
      <c r="J43" s="120"/>
      <c r="K43" s="120"/>
      <c r="L43" s="132">
        <f>L42*L34</f>
        <v>0</v>
      </c>
      <c r="M43" s="120"/>
      <c r="N43" s="120"/>
      <c r="O43" s="308"/>
      <c r="Q43" s="188"/>
      <c r="S43" s="132">
        <f>S42*S34</f>
        <v>0</v>
      </c>
      <c r="T43" s="120"/>
      <c r="U43" s="120"/>
      <c r="V43" s="132">
        <f>V42*V34</f>
        <v>0</v>
      </c>
      <c r="W43" s="120"/>
      <c r="X43" s="120"/>
      <c r="Y43" s="132">
        <f>Y42*Y34</f>
        <v>0</v>
      </c>
      <c r="Z43" s="120"/>
      <c r="AB43" s="188"/>
    </row>
    <row r="44" spans="1:28" s="108" customFormat="1" ht="7.5" customHeight="1" x14ac:dyDescent="0.25">
      <c r="A44" s="303"/>
      <c r="B44" s="120"/>
      <c r="C44" s="120"/>
      <c r="D44" s="120"/>
      <c r="E44" s="120"/>
      <c r="F44" s="137"/>
      <c r="G44" s="120"/>
      <c r="H44" s="120"/>
      <c r="I44" s="138"/>
      <c r="J44" s="120"/>
      <c r="K44" s="120"/>
      <c r="L44" s="138"/>
      <c r="M44" s="120"/>
      <c r="N44" s="120"/>
      <c r="O44" s="308"/>
      <c r="Q44" s="188"/>
      <c r="S44" s="137"/>
      <c r="T44" s="120"/>
      <c r="U44" s="120"/>
      <c r="V44" s="138"/>
      <c r="W44" s="120"/>
      <c r="X44" s="120"/>
      <c r="Y44" s="138"/>
      <c r="Z44" s="120"/>
      <c r="AB44" s="188"/>
    </row>
    <row r="45" spans="1:28" s="108" customFormat="1" ht="15.75" x14ac:dyDescent="0.25">
      <c r="A45" s="303"/>
      <c r="B45" s="281" t="s">
        <v>743</v>
      </c>
      <c r="C45" s="281"/>
      <c r="D45" s="281"/>
      <c r="E45" s="139"/>
      <c r="F45" s="135"/>
      <c r="G45" s="136"/>
      <c r="H45" s="136"/>
      <c r="I45" s="136"/>
      <c r="J45" s="136"/>
      <c r="K45" s="136"/>
      <c r="L45" s="136"/>
      <c r="M45" s="136"/>
      <c r="N45" s="120"/>
      <c r="O45" s="308"/>
      <c r="Q45" s="188"/>
      <c r="S45" s="135"/>
      <c r="T45" s="136"/>
      <c r="U45" s="136"/>
      <c r="V45" s="136"/>
      <c r="W45" s="136"/>
      <c r="X45" s="136"/>
      <c r="Y45" s="136"/>
      <c r="Z45" s="136"/>
      <c r="AB45" s="188"/>
    </row>
    <row r="46" spans="1:28" s="108" customFormat="1" x14ac:dyDescent="0.25">
      <c r="A46" s="303"/>
      <c r="B46" s="120" t="s">
        <v>317</v>
      </c>
      <c r="C46" s="120"/>
      <c r="D46" s="120"/>
      <c r="E46" s="120"/>
      <c r="F46" s="252">
        <f>IF(F27="",0,IF(VLOOKUP($F$28,DATA!$A$6:$AQ$159,28,FALSE)="","n/a",VLOOKUP($F$28,DATA!$A$6:$AQ$159,28,FALSE)))</f>
        <v>0</v>
      </c>
      <c r="G46" s="120" t="s">
        <v>318</v>
      </c>
      <c r="H46" s="120"/>
      <c r="I46" s="252">
        <f>IF(I27="",0,IF(VLOOKUP($I$28,DATA!$A$6:$AQ$159,28,FALSE)="","n/a",VLOOKUP($I$28,DATA!$A$6:$AQ$159,28,FALSE)))</f>
        <v>0</v>
      </c>
      <c r="J46" s="120" t="s">
        <v>318</v>
      </c>
      <c r="K46" s="141"/>
      <c r="L46" s="252">
        <f>IF(L27="",0,IF(VLOOKUP($L$28,DATA!$A$6:$AQ$159,28,FALSE)="","n/a",VLOOKUP($L$28,DATA!$A$6:$AQ$159,28,FALSE)))</f>
        <v>0</v>
      </c>
      <c r="M46" s="120" t="s">
        <v>318</v>
      </c>
      <c r="N46" s="120"/>
      <c r="O46" s="308"/>
      <c r="Q46" s="188"/>
      <c r="S46" s="140">
        <f>IF(S27="",0,IF(VLOOKUP($F$28,DATA!$A$6:$AQ$159,28,FALSE)="","n/a",VLOOKUP($F$28,DATA!$A$6:$AQ$159,28,FALSE)))</f>
        <v>0</v>
      </c>
      <c r="T46" s="120" t="s">
        <v>318</v>
      </c>
      <c r="U46" s="120"/>
      <c r="V46" s="140">
        <f>IF(V27="",0,IF(VLOOKUP($I$28,DATA!$A$6:$AQ$159,28,FALSE)="","n/a",VLOOKUP($I$28,DATA!$A$6:$AQ$159,28,FALSE)))</f>
        <v>0</v>
      </c>
      <c r="W46" s="120" t="s">
        <v>318</v>
      </c>
      <c r="X46" s="141"/>
      <c r="Y46" s="140">
        <f>IF(Y27="",0,IF(VLOOKUP($L$28,DATA!$A$6:$AQ$159,28,FALSE)="","n/a",VLOOKUP($L$28,DATA!$A$6:$AQ$159,28,FALSE)))</f>
        <v>0</v>
      </c>
      <c r="Z46" s="120" t="s">
        <v>318</v>
      </c>
      <c r="AB46" s="188"/>
    </row>
    <row r="47" spans="1:28" s="108" customFormat="1" x14ac:dyDescent="0.25">
      <c r="A47" s="303"/>
      <c r="B47" s="120" t="s">
        <v>720</v>
      </c>
      <c r="C47" s="120"/>
      <c r="D47" s="120"/>
      <c r="E47" s="120"/>
      <c r="F47" s="252">
        <f>IF(F27="",0,IF(VLOOKUP($F$28,DATA!$A$6:$AQ$159,29,FALSE)="","n/a",VLOOKUP($F$28,DATA!$A$6:$AQ$159,29,FALSE)))</f>
        <v>0</v>
      </c>
      <c r="G47" s="120" t="s">
        <v>721</v>
      </c>
      <c r="H47" s="120"/>
      <c r="I47" s="252">
        <f>IF(I27="",0,IF(VLOOKUP($I$28,DATA!$A$6:$AQ$159,29,FALSE)="","n/a",VLOOKUP($I$28,DATA!$A$6:$AQ$159,29,FALSE)))</f>
        <v>0</v>
      </c>
      <c r="J47" s="120" t="s">
        <v>721</v>
      </c>
      <c r="K47" s="120"/>
      <c r="L47" s="252">
        <f>IF(L27="",0,IF(VLOOKUP($L$28,DATA!$A$6:$AQ$159,29,FALSE)="","n/a",VLOOKUP($L$28,DATA!$A$6:$AQ$159,29,FALSE)))</f>
        <v>0</v>
      </c>
      <c r="M47" s="120" t="s">
        <v>721</v>
      </c>
      <c r="N47" s="120"/>
      <c r="O47" s="308"/>
      <c r="Q47" s="188"/>
      <c r="S47" s="140">
        <f>IF(S27="",0,IF(VLOOKUP($F$28,DATA!$A$6:$AQ$159,29,FALSE)="","n/a",VLOOKUP($F$28,DATA!$A$6:$AQ$159,29,FALSE)))</f>
        <v>0</v>
      </c>
      <c r="T47" s="120" t="s">
        <v>721</v>
      </c>
      <c r="U47" s="120"/>
      <c r="V47" s="140">
        <f>IF(V27="",0,IF(VLOOKUP($I$28,DATA!$A$6:$AQ$159,29,FALSE)="","n/a",VLOOKUP($I$28,DATA!$A$6:$AQ$159,29,FALSE)))</f>
        <v>0</v>
      </c>
      <c r="W47" s="120" t="s">
        <v>721</v>
      </c>
      <c r="X47" s="120"/>
      <c r="Y47" s="140">
        <f>IF(Y27="",0,IF(VLOOKUP($L$28,DATA!$A$6:$AQ$159,29,FALSE)="","n/a",VLOOKUP($L$28,DATA!$A$6:$AQ$159,29,FALSE)))</f>
        <v>0</v>
      </c>
      <c r="Z47" s="120" t="s">
        <v>721</v>
      </c>
      <c r="AB47" s="188"/>
    </row>
    <row r="48" spans="1:28" s="108" customFormat="1" x14ac:dyDescent="0.25">
      <c r="A48" s="303"/>
      <c r="B48" s="120" t="s">
        <v>319</v>
      </c>
      <c r="C48" s="120"/>
      <c r="D48" s="120"/>
      <c r="E48" s="120"/>
      <c r="F48" s="253">
        <f>IF(F34=0,0,Field_efficiency)</f>
        <v>0</v>
      </c>
      <c r="G48" s="120"/>
      <c r="H48" s="120"/>
      <c r="I48" s="253">
        <f>IF(I34=0,0,Field_efficiency)</f>
        <v>0</v>
      </c>
      <c r="J48" s="120"/>
      <c r="K48" s="120"/>
      <c r="L48" s="253">
        <f>IF(L34=0,0,Field_efficiency)</f>
        <v>0</v>
      </c>
      <c r="M48" s="120"/>
      <c r="N48" s="120"/>
      <c r="O48" s="308"/>
      <c r="Q48" s="188"/>
      <c r="S48" s="142">
        <f>IF(S34=0,0,Field_efficiency)</f>
        <v>0</v>
      </c>
      <c r="T48" s="120"/>
      <c r="U48" s="120"/>
      <c r="V48" s="142">
        <f>IF(V34=0,0,Field_efficiency)</f>
        <v>0</v>
      </c>
      <c r="W48" s="120"/>
      <c r="X48" s="120"/>
      <c r="Y48" s="142">
        <f>IF(Y34=0,0,Field_efficiency)</f>
        <v>0</v>
      </c>
      <c r="Z48" s="120"/>
      <c r="AB48" s="188"/>
    </row>
    <row r="49" spans="1:28" s="108" customFormat="1" x14ac:dyDescent="0.25">
      <c r="A49" s="303"/>
      <c r="B49" s="120" t="s">
        <v>716</v>
      </c>
      <c r="C49" s="120"/>
      <c r="D49" s="120"/>
      <c r="E49" s="120"/>
      <c r="F49" s="252" t="str">
        <f>IF(OR(F46="n/a",F47="n/a",F48=0),"n/a",IF(OR(F46=0,F47=0),VLOOKUP($F$28,DATA!$A$6:$AQ$159,30,FALSE),ROUND((F46*5280*F47*F48)/43560,0)))</f>
        <v>n/a</v>
      </c>
      <c r="G49" s="120" t="str">
        <f>IF(F49="n/a","",IF(VLOOKUP($F$28,DATA!$A$6:$AQ$159,31,FALSE)="","",VLOOKUP($F$28,DATA!$A$6:$AQ$159,31,FALSE)))</f>
        <v/>
      </c>
      <c r="H49" s="120"/>
      <c r="I49" s="252" t="str">
        <f>IF(OR(I46="n/a",I47="n/a",I48=0),"n/a",IF(OR(I46=0,I47=0),VLOOKUP($I$28,DATA!$A$6:$AQ$159,30,FALSE),ROUND((I46*5280*I47*I48)/43560,0)))</f>
        <v>n/a</v>
      </c>
      <c r="J49" s="120" t="str">
        <f>IF(I49="n/a","",IF(VLOOKUP($I$28,DATA!$A$6:$AQ$159,31,FALSE)="","",VLOOKUP($I$28,DATA!$A$6:$AQ$159,31,FALSE)))</f>
        <v/>
      </c>
      <c r="K49" s="120"/>
      <c r="L49" s="252" t="str">
        <f>IF(OR(L46="n/a",L47="n/a",L48=0),"n/a",IF(OR(L46=0,L47=0),VLOOKUP($L$28,DATA!$A$6:$AQ$159,30,FALSE),ROUND((L46*5280*L47*L48)/43560,0)))</f>
        <v>n/a</v>
      </c>
      <c r="M49" s="120" t="str">
        <f>IF(L49="n/a","",IF(VLOOKUP($L$28,DATA!$A$6:$AQ$159,31,FALSE)="","",VLOOKUP($L$28,DATA!$A$6:$AQ$159,31,FALSE)))</f>
        <v/>
      </c>
      <c r="N49" s="120"/>
      <c r="O49" s="308"/>
      <c r="Q49" s="188"/>
      <c r="S49" s="140" t="str">
        <f>IF(OR(S46="n/a",S47="n/a",S48=0),"n/a",IF(OR(S46=0,S47=0),VLOOKUP($F$28,DATA!$A$6:$AQ$159,30,FALSE),ROUND((S46*5280*S47*S48)/43560,0)))</f>
        <v>n/a</v>
      </c>
      <c r="T49" s="120" t="str">
        <f>IF(S49="n/a","",IF(VLOOKUP($F$28,DATA!$A$6:$AQ$159,31,FALSE)="","",VLOOKUP($F$28,DATA!$A$6:$AQ$159,31,FALSE)))</f>
        <v/>
      </c>
      <c r="U49" s="120"/>
      <c r="V49" s="140" t="str">
        <f>IF(OR(V46="n/a",V47="n/a",V48=0),"n/a",IF(OR(V46=0,V47=0),VLOOKUP($I$28,DATA!$A$6:$AQ$159,30,FALSE),ROUND((V46*5280*V47*V48)/43560,0)))</f>
        <v>n/a</v>
      </c>
      <c r="W49" s="120" t="str">
        <f>IF(V49="n/a","",IF(VLOOKUP($F$28,DATA!$A$6:$AQ$159,31,FALSE)="","",VLOOKUP($F$28,DATA!$A$6:$AQ$159,31,FALSE)))</f>
        <v/>
      </c>
      <c r="X49" s="120"/>
      <c r="Y49" s="140" t="str">
        <f>IF(OR(Y46="n/a",Y47="n/a",Y48=0),"n/a",IF(OR(Y46=0,Y47=0),VLOOKUP($L$28,DATA!$A$6:$AQ$159,30,FALSE),ROUND((Y46*5280*Y47*Y48)/43560,0)))</f>
        <v>n/a</v>
      </c>
      <c r="Z49" s="120" t="str">
        <f>IF(Y49="n/a","",IF(VLOOKUP($F$28,DATA!$A$6:$AQ$159,31,FALSE)="","",VLOOKUP($F$28,DATA!$A$6:$AQ$159,31,FALSE)))</f>
        <v/>
      </c>
      <c r="AB49" s="188"/>
    </row>
    <row r="50" spans="1:28" s="108" customFormat="1" ht="7.5" customHeight="1" x14ac:dyDescent="0.25">
      <c r="A50" s="303"/>
      <c r="B50" s="112"/>
      <c r="C50" s="120"/>
      <c r="D50" s="120"/>
      <c r="E50" s="120"/>
      <c r="F50" s="136"/>
      <c r="G50" s="136"/>
      <c r="H50" s="136"/>
      <c r="I50" s="136"/>
      <c r="J50" s="136"/>
      <c r="K50" s="136"/>
      <c r="L50" s="136"/>
      <c r="M50" s="136"/>
      <c r="N50" s="120"/>
      <c r="O50" s="308"/>
      <c r="Q50" s="188"/>
      <c r="AB50" s="188"/>
    </row>
    <row r="51" spans="1:28" s="144" customFormat="1" ht="23.25" x14ac:dyDescent="0.35">
      <c r="A51" s="312"/>
      <c r="B51" s="314" t="s">
        <v>323</v>
      </c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09"/>
      <c r="P51" s="143"/>
      <c r="Q51" s="189"/>
      <c r="R51" s="189"/>
      <c r="S51" s="205"/>
      <c r="T51" s="190"/>
      <c r="U51" s="190"/>
      <c r="V51" s="190"/>
      <c r="W51" s="190"/>
      <c r="X51" s="190"/>
      <c r="Y51" s="190"/>
      <c r="Z51" s="190"/>
      <c r="AA51" s="190"/>
      <c r="AB51" s="190"/>
    </row>
    <row r="52" spans="1:28" s="108" customFormat="1" ht="18" x14ac:dyDescent="0.25">
      <c r="A52" s="303"/>
      <c r="B52" s="145" t="s">
        <v>324</v>
      </c>
      <c r="C52" s="145"/>
      <c r="D52" s="120"/>
      <c r="E52" s="136"/>
      <c r="F52" s="121" t="s">
        <v>309</v>
      </c>
      <c r="G52" s="109"/>
      <c r="H52" s="122"/>
      <c r="I52" s="121" t="s">
        <v>310</v>
      </c>
      <c r="J52" s="109"/>
      <c r="K52" s="109"/>
      <c r="L52" s="276" t="s">
        <v>311</v>
      </c>
      <c r="M52" s="276"/>
      <c r="N52" s="120"/>
      <c r="O52" s="310"/>
    </row>
    <row r="53" spans="1:28" s="108" customFormat="1" x14ac:dyDescent="0.25">
      <c r="A53" s="303"/>
      <c r="B53" s="120" t="s">
        <v>735</v>
      </c>
      <c r="C53" s="120"/>
      <c r="D53" s="120"/>
      <c r="E53" s="120"/>
      <c r="F53" s="146">
        <f>IF(F35=0,0,(F34*Fraction_dep_over_optimal_life/F36/F35))</f>
        <v>0</v>
      </c>
      <c r="G53" s="147" t="s">
        <v>320</v>
      </c>
      <c r="H53" s="148"/>
      <c r="I53" s="146">
        <f>IF(I35=0,0,(I34*Fraction_dep_over_optimal_life/I36/I35))</f>
        <v>0</v>
      </c>
      <c r="J53" s="147" t="s">
        <v>320</v>
      </c>
      <c r="K53" s="148"/>
      <c r="L53" s="146">
        <f>IF(L35=0,0,(L34*Fraction_dep_over_optimal_life/L36/L35))</f>
        <v>0</v>
      </c>
      <c r="M53" s="147" t="s">
        <v>320</v>
      </c>
      <c r="N53" s="120"/>
      <c r="O53" s="310"/>
    </row>
    <row r="54" spans="1:28" s="108" customFormat="1" ht="15.75" x14ac:dyDescent="0.25">
      <c r="A54" s="303"/>
      <c r="B54" s="120" t="s">
        <v>736</v>
      </c>
      <c r="C54" s="120"/>
      <c r="D54" s="120"/>
      <c r="E54" s="120"/>
      <c r="F54" s="146">
        <f>IF(F35=0,0,IF(Machinery_Financed_percentage=0,0,(-CUMIPMT(Interest_Rate/2,Payback_loan_period_years*2,F34*Machinery_Financed_percentage,1,Payback_loan_period_years*2,0)/F36/F35))+((F34*(1-Machinery_Financed_percentage)*(1+Opportunity_Rate/12)^(Opp_inv_period_years*12)-(F34*(1-Machinery_Financed_percentage)))/F36/F35))</f>
        <v>0</v>
      </c>
      <c r="G54" s="147" t="s">
        <v>320</v>
      </c>
      <c r="H54" s="148"/>
      <c r="I54" s="146">
        <f>IF(I35=0,0,IF(Machinery_Financed_percentage=0,0,(-CUMIPMT(Interest_Rate/2,Payback_loan_period_years*2,I34*Machinery_Financed_percentage,1,Payback_loan_period_years*2,0)/I36/I35))+((I34*(1-Machinery_Financed_percentage)*(1+Opportunity_Rate/12)^(Opp_inv_period_years*12)-(I34*(1-Machinery_Financed_percentage)))/I36/I35))</f>
        <v>0</v>
      </c>
      <c r="J54" s="147" t="s">
        <v>320</v>
      </c>
      <c r="K54" s="148"/>
      <c r="L54" s="146">
        <f>IF(L35=0,0,IF(Machinery_Financed_percentage=0,0,(-CUMIPMT(Interest_Rate/2,Payback_loan_period_years*2,L34*Machinery_Financed_percentage,1,Payback_loan_period_years*2,0)/L36/L35))+((L34*(1-Machinery_Financed_percentage)*(1+Opportunity_Rate/12)^(Opp_inv_period_years*12)-(L34*(1-Machinery_Financed_percentage)))/L36/L35))</f>
        <v>0</v>
      </c>
      <c r="M54" s="147" t="s">
        <v>320</v>
      </c>
      <c r="N54" s="120"/>
      <c r="O54" s="310"/>
      <c r="S54" s="149">
        <f>IF(F35=0,0,(F34*Fraction_dep_over_optimal_life/F36/F35)+IF(Machinery_Financed_percentage=0,0,(-CUMIPMT(Interest_Rate/2,Payback_loan_period_years*2,F34*Machinery_Financed_percentage,1,Payback_loan_period_years*2,0)/F36/F35))+((F34*(1-Machinery_Financed_percentage)*(1+Opportunity_Rate/12)^(Opp_inv_period_years*12)-(F34*(1-Machinery_Financed_percentage)))/F36/F35)+(Insurance_and_Housing*F34/F35))</f>
        <v>0</v>
      </c>
    </row>
    <row r="55" spans="1:28" s="108" customFormat="1" x14ac:dyDescent="0.25">
      <c r="A55" s="303"/>
      <c r="B55" s="120" t="s">
        <v>737</v>
      </c>
      <c r="C55" s="120"/>
      <c r="D55" s="136"/>
      <c r="E55" s="120"/>
      <c r="F55" s="150">
        <f>IF(F34=0,0,SUM(F34*Insurance_and_Housing)/F35)</f>
        <v>0</v>
      </c>
      <c r="G55" s="147" t="s">
        <v>320</v>
      </c>
      <c r="H55" s="148"/>
      <c r="I55" s="150">
        <f>IF(I34=0,0,SUM(I34*Insurance_and_Housing)/I35)</f>
        <v>0</v>
      </c>
      <c r="J55" s="147" t="s">
        <v>320</v>
      </c>
      <c r="K55" s="148"/>
      <c r="L55" s="150">
        <f>IF(L34=0,0,SUM(L34*Insurance_and_Housing)/L35)</f>
        <v>0</v>
      </c>
      <c r="M55" s="147" t="s">
        <v>320</v>
      </c>
      <c r="N55" s="120"/>
      <c r="O55" s="310"/>
    </row>
    <row r="56" spans="1:28" s="108" customFormat="1" x14ac:dyDescent="0.25">
      <c r="A56" s="303"/>
      <c r="B56" s="120" t="s">
        <v>325</v>
      </c>
      <c r="C56" s="120"/>
      <c r="D56" s="136"/>
      <c r="E56" s="120"/>
      <c r="F56" s="151">
        <f>IF(F35=0,0,F43/F35)</f>
        <v>0</v>
      </c>
      <c r="G56" s="147" t="s">
        <v>320</v>
      </c>
      <c r="H56" s="152"/>
      <c r="I56" s="151">
        <f>IF(I35=0,0,I43/I35)</f>
        <v>0</v>
      </c>
      <c r="J56" s="147" t="s">
        <v>320</v>
      </c>
      <c r="K56" s="152"/>
      <c r="L56" s="151">
        <f>IF(L35=0,0,L43/L35)</f>
        <v>0</v>
      </c>
      <c r="M56" s="147" t="s">
        <v>320</v>
      </c>
      <c r="N56" s="120"/>
      <c r="O56" s="310"/>
    </row>
    <row r="57" spans="1:28" s="108" customFormat="1" x14ac:dyDescent="0.25">
      <c r="A57" s="303"/>
      <c r="B57" s="136" t="s">
        <v>321</v>
      </c>
      <c r="C57" s="136"/>
      <c r="D57" s="139"/>
      <c r="E57" s="136"/>
      <c r="F57" s="151">
        <f>IF(F35=0,0,Margin_percentage*(F56+F53+F54+F55))</f>
        <v>0</v>
      </c>
      <c r="G57" s="147" t="s">
        <v>320</v>
      </c>
      <c r="H57" s="153"/>
      <c r="I57" s="151">
        <f>IF(I35=0,0,Margin_percentage*(I56+I53+I54+I55))</f>
        <v>0</v>
      </c>
      <c r="J57" s="147" t="s">
        <v>320</v>
      </c>
      <c r="K57" s="153"/>
      <c r="L57" s="151">
        <f>IF(L35=0,0,Margin_percentage*(L56+L53+L54+L55))</f>
        <v>0</v>
      </c>
      <c r="M57" s="147" t="s">
        <v>320</v>
      </c>
      <c r="N57" s="120"/>
      <c r="O57" s="310"/>
    </row>
    <row r="58" spans="1:28" s="108" customFormat="1" ht="15.75" thickBot="1" x14ac:dyDescent="0.3">
      <c r="A58" s="303"/>
      <c r="B58" s="154" t="s">
        <v>326</v>
      </c>
      <c r="C58" s="136"/>
      <c r="D58" s="136"/>
      <c r="E58" s="136"/>
      <c r="F58" s="146">
        <f>SUM(F53:F57)</f>
        <v>0</v>
      </c>
      <c r="G58" s="147" t="s">
        <v>320</v>
      </c>
      <c r="H58" s="155"/>
      <c r="I58" s="146">
        <f>SUM(I53:I57)</f>
        <v>0</v>
      </c>
      <c r="J58" s="147" t="s">
        <v>320</v>
      </c>
      <c r="K58" s="155"/>
      <c r="L58" s="146">
        <f>SUM(L53:L57)</f>
        <v>0</v>
      </c>
      <c r="M58" s="147" t="s">
        <v>320</v>
      </c>
      <c r="N58" s="120"/>
      <c r="O58" s="310"/>
      <c r="S58" s="204" t="s">
        <v>752</v>
      </c>
      <c r="T58" s="199"/>
      <c r="V58" s="188" t="str">
        <f>IF(OR(F46="n/a",F47="n/a"),"n/a",IF(ROUND((F46*5280*F47*F48)/43560,0)=0,"n/a",ROUND((F46*5280*F47*F48)/43560,0)))</f>
        <v>n/a</v>
      </c>
      <c r="W58" s="188" t="s">
        <v>753</v>
      </c>
    </row>
    <row r="59" spans="1:28" s="108" customFormat="1" ht="15.75" thickBot="1" x14ac:dyDescent="0.3">
      <c r="A59" s="303"/>
      <c r="B59" s="112" t="s">
        <v>327</v>
      </c>
      <c r="C59" s="120"/>
      <c r="D59" s="120"/>
      <c r="E59" s="156"/>
      <c r="F59" s="146" t="str">
        <f>IF($S$59=0,"",F58/$S$59)</f>
        <v/>
      </c>
      <c r="G59" s="157" t="str">
        <f>IF(OR(F53=0,S59=0),"",VLOOKUP($F$28,DATA!$A$6:$AQ$159,42,FALSE))</f>
        <v/>
      </c>
      <c r="H59" s="155"/>
      <c r="I59" s="146" t="str">
        <f>IF($S$59=0,"",I58/$S$59)</f>
        <v/>
      </c>
      <c r="J59" s="157" t="str">
        <f>IF(OR(I53=0,S59=0),"",G59)</f>
        <v/>
      </c>
      <c r="K59" s="155"/>
      <c r="L59" s="146" t="str">
        <f>IF($S$59=0,"",L58/$S$59)</f>
        <v/>
      </c>
      <c r="M59" s="157" t="str">
        <f>IF(OR(L53=0,V59=0),"",G59)</f>
        <v/>
      </c>
      <c r="N59" s="120"/>
      <c r="O59" s="310"/>
      <c r="S59" s="203">
        <f>MIN(F49,I49,L49)</f>
        <v>0</v>
      </c>
      <c r="T59" s="200"/>
      <c r="Y59" s="198" t="str">
        <f>IF(L49="n/a","",L58/L49)</f>
        <v/>
      </c>
      <c r="Z59" s="198" t="str">
        <f>IF(L49="n/a","",VLOOKUP($L$28,DATA!$A$6:$AQ$159,42,FALSE))</f>
        <v/>
      </c>
    </row>
    <row r="60" spans="1:28" s="108" customFormat="1" ht="7.5" customHeight="1" x14ac:dyDescent="0.2">
      <c r="A60" s="303"/>
      <c r="B60" s="120"/>
      <c r="C60" s="120"/>
      <c r="D60" s="120"/>
      <c r="E60" s="120"/>
      <c r="F60" s="152"/>
      <c r="G60" s="158"/>
      <c r="H60" s="152"/>
      <c r="I60" s="152"/>
      <c r="J60" s="158"/>
      <c r="K60" s="152"/>
      <c r="L60" s="152"/>
      <c r="M60" s="158"/>
      <c r="N60" s="120"/>
      <c r="O60" s="310"/>
      <c r="S60" s="201"/>
      <c r="T60" s="202"/>
    </row>
    <row r="61" spans="1:28" s="108" customFormat="1" ht="15.75" x14ac:dyDescent="0.25">
      <c r="A61" s="303"/>
      <c r="B61" s="281" t="s">
        <v>328</v>
      </c>
      <c r="C61" s="281"/>
      <c r="D61" s="281"/>
      <c r="E61" s="120"/>
      <c r="F61" s="152"/>
      <c r="G61" s="158"/>
      <c r="H61" s="152"/>
      <c r="I61" s="152"/>
      <c r="J61" s="158"/>
      <c r="K61" s="152"/>
      <c r="L61" s="152"/>
      <c r="M61" s="158"/>
      <c r="N61" s="120"/>
      <c r="O61" s="310"/>
    </row>
    <row r="62" spans="1:28" s="108" customFormat="1" x14ac:dyDescent="0.25">
      <c r="A62" s="303"/>
      <c r="B62" s="120" t="s">
        <v>329</v>
      </c>
      <c r="C62" s="120"/>
      <c r="D62" s="120"/>
      <c r="E62" s="120"/>
      <c r="F62" s="146">
        <f>SUM(F41*Fuel_Price)</f>
        <v>0</v>
      </c>
      <c r="G62" s="147" t="s">
        <v>320</v>
      </c>
      <c r="H62" s="152"/>
      <c r="I62" s="146">
        <f>SUM(I41*Fuel_Price)</f>
        <v>0</v>
      </c>
      <c r="J62" s="147" t="s">
        <v>320</v>
      </c>
      <c r="K62" s="152"/>
      <c r="L62" s="146">
        <f>SUM(L41*Fuel_Price)</f>
        <v>0</v>
      </c>
      <c r="M62" s="147" t="s">
        <v>320</v>
      </c>
      <c r="N62" s="120"/>
      <c r="O62" s="310"/>
    </row>
    <row r="63" spans="1:28" s="108" customFormat="1" x14ac:dyDescent="0.25">
      <c r="A63" s="303"/>
      <c r="B63" s="120" t="s">
        <v>330</v>
      </c>
      <c r="C63" s="120"/>
      <c r="D63" s="120"/>
      <c r="E63" s="120"/>
      <c r="F63" s="151">
        <f>IF(F58=0,0,VLOOKUP($F$28,DATA!$A$6:$AQ$159,37,FALSE))</f>
        <v>0</v>
      </c>
      <c r="G63" s="147" t="s">
        <v>320</v>
      </c>
      <c r="H63" s="152"/>
      <c r="I63" s="151">
        <f>IF(I58=0,0,VLOOKUP($I$28,DATA!$A$6:$AQ$159,37,FALSE))</f>
        <v>0</v>
      </c>
      <c r="J63" s="147" t="s">
        <v>320</v>
      </c>
      <c r="K63" s="152"/>
      <c r="L63" s="151">
        <f>IF(L58=0,0,VLOOKUP($F$28,DATA!$A$6:$AQ$159,37,FALSE))</f>
        <v>0</v>
      </c>
      <c r="M63" s="147" t="s">
        <v>320</v>
      </c>
      <c r="N63" s="120"/>
      <c r="O63" s="310"/>
    </row>
    <row r="64" spans="1:28" s="108" customFormat="1" x14ac:dyDescent="0.25">
      <c r="A64" s="303"/>
      <c r="B64" s="136" t="s">
        <v>322</v>
      </c>
      <c r="C64" s="136"/>
      <c r="D64" s="136"/>
      <c r="E64" s="136"/>
      <c r="F64" s="151">
        <f>Margin_percentage*(F63+F62)</f>
        <v>0</v>
      </c>
      <c r="G64" s="147" t="s">
        <v>320</v>
      </c>
      <c r="H64" s="153"/>
      <c r="I64" s="151">
        <f>Margin_percentage*(I63+I62)</f>
        <v>0</v>
      </c>
      <c r="J64" s="147" t="s">
        <v>320</v>
      </c>
      <c r="K64" s="153"/>
      <c r="L64" s="151">
        <f>Margin_percentage*(L63+L62)</f>
        <v>0</v>
      </c>
      <c r="M64" s="147" t="s">
        <v>320</v>
      </c>
      <c r="N64" s="120"/>
      <c r="O64" s="310"/>
    </row>
    <row r="65" spans="1:19" s="108" customFormat="1" x14ac:dyDescent="0.25">
      <c r="A65" s="303"/>
      <c r="B65" s="154" t="s">
        <v>331</v>
      </c>
      <c r="C65" s="136"/>
      <c r="D65" s="136"/>
      <c r="E65" s="136"/>
      <c r="F65" s="146">
        <f>SUM(F58,F62:F64)</f>
        <v>0</v>
      </c>
      <c r="G65" s="147" t="s">
        <v>320</v>
      </c>
      <c r="H65" s="155"/>
      <c r="I65" s="146">
        <f>SUM(I58,I62:I64)</f>
        <v>0</v>
      </c>
      <c r="J65" s="147" t="s">
        <v>320</v>
      </c>
      <c r="K65" s="155"/>
      <c r="L65" s="146">
        <f>SUM(L58,L62:L64)</f>
        <v>0</v>
      </c>
      <c r="M65" s="147" t="s">
        <v>320</v>
      </c>
      <c r="N65" s="120"/>
      <c r="O65" s="310"/>
    </row>
    <row r="66" spans="1:19" s="108" customFormat="1" x14ac:dyDescent="0.25">
      <c r="A66" s="303"/>
      <c r="B66" s="112" t="s">
        <v>332</v>
      </c>
      <c r="C66" s="120"/>
      <c r="D66" s="120"/>
      <c r="E66" s="156"/>
      <c r="F66" s="151" t="str">
        <f>IF(OR(F53=0,$S$59=0),"",SUM(F65/$S$59))</f>
        <v/>
      </c>
      <c r="G66" s="159" t="str">
        <f>G59</f>
        <v/>
      </c>
      <c r="H66" s="160"/>
      <c r="I66" s="151" t="str">
        <f>IF(OR(I53=0,$S$59=0),"",SUM(I65/$S$59))</f>
        <v/>
      </c>
      <c r="J66" s="159" t="str">
        <f>J59</f>
        <v/>
      </c>
      <c r="K66" s="160"/>
      <c r="L66" s="151" t="str">
        <f>IF(OR(L53=0,$S$59=0),"",SUM(L65/$S$59))</f>
        <v/>
      </c>
      <c r="M66" s="159" t="str">
        <f>M59</f>
        <v/>
      </c>
      <c r="N66" s="120"/>
      <c r="O66" s="310"/>
    </row>
    <row r="67" spans="1:19" s="108" customFormat="1" ht="7.5" customHeight="1" x14ac:dyDescent="0.25">
      <c r="A67" s="303"/>
      <c r="B67" s="112"/>
      <c r="C67" s="120"/>
      <c r="D67" s="120"/>
      <c r="E67" s="120"/>
      <c r="F67" s="161"/>
      <c r="G67" s="158"/>
      <c r="H67" s="160"/>
      <c r="I67" s="161"/>
      <c r="J67" s="158"/>
      <c r="K67" s="160"/>
      <c r="L67" s="161"/>
      <c r="M67" s="158"/>
      <c r="N67" s="162"/>
      <c r="O67" s="305"/>
      <c r="P67" s="162"/>
      <c r="Q67" s="162"/>
      <c r="R67" s="162"/>
      <c r="S67" s="163"/>
    </row>
    <row r="68" spans="1:19" s="166" customFormat="1" ht="23.25" customHeight="1" x14ac:dyDescent="0.35">
      <c r="A68" s="313"/>
      <c r="B68" s="314" t="s">
        <v>333</v>
      </c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04"/>
      <c r="P68" s="164"/>
      <c r="Q68" s="164"/>
      <c r="R68" s="164"/>
      <c r="S68" s="165"/>
    </row>
    <row r="69" spans="1:19" s="108" customFormat="1" ht="15.75" x14ac:dyDescent="0.25">
      <c r="A69" s="303"/>
      <c r="B69" s="281" t="s">
        <v>746</v>
      </c>
      <c r="C69" s="281"/>
      <c r="D69" s="281"/>
      <c r="E69" s="120"/>
      <c r="F69" s="167"/>
      <c r="G69" s="154"/>
      <c r="H69" s="160"/>
      <c r="I69" s="161"/>
      <c r="J69" s="158"/>
      <c r="K69" s="160"/>
      <c r="L69" s="161"/>
      <c r="M69" s="158"/>
      <c r="N69" s="162"/>
      <c r="O69" s="305"/>
      <c r="P69" s="162"/>
      <c r="Q69" s="162"/>
      <c r="R69" s="162"/>
      <c r="S69" s="163"/>
    </row>
    <row r="70" spans="1:19" s="108" customFormat="1" x14ac:dyDescent="0.25">
      <c r="A70" s="303"/>
      <c r="B70" s="120" t="s">
        <v>334</v>
      </c>
      <c r="C70" s="120"/>
      <c r="D70" s="120"/>
      <c r="E70" s="120"/>
      <c r="F70" s="146">
        <f>SUM(F53:F55,I53:I55,L53:L55)</f>
        <v>0</v>
      </c>
      <c r="G70" s="147" t="s">
        <v>320</v>
      </c>
      <c r="H70" s="160"/>
      <c r="I70" s="161"/>
      <c r="J70" s="158"/>
      <c r="K70" s="160"/>
      <c r="L70" s="161"/>
      <c r="M70" s="158"/>
      <c r="N70" s="162"/>
      <c r="O70" s="305"/>
      <c r="P70" s="162"/>
      <c r="Q70" s="162"/>
      <c r="R70" s="162"/>
      <c r="S70" s="163"/>
    </row>
    <row r="71" spans="1:19" s="108" customFormat="1" x14ac:dyDescent="0.25">
      <c r="A71" s="303"/>
      <c r="B71" s="120" t="s">
        <v>335</v>
      </c>
      <c r="C71" s="120"/>
      <c r="D71" s="120"/>
      <c r="E71" s="120"/>
      <c r="F71" s="151">
        <f>F56+I56+L56</f>
        <v>0</v>
      </c>
      <c r="G71" s="147" t="s">
        <v>320</v>
      </c>
      <c r="H71" s="160"/>
      <c r="I71" s="161"/>
      <c r="J71" s="158"/>
      <c r="K71" s="160"/>
      <c r="L71" s="161"/>
      <c r="M71" s="158"/>
      <c r="N71" s="162"/>
      <c r="O71" s="305"/>
      <c r="P71" s="162"/>
      <c r="Q71" s="162"/>
      <c r="R71" s="162"/>
      <c r="S71" s="163"/>
    </row>
    <row r="72" spans="1:19" s="108" customFormat="1" x14ac:dyDescent="0.25">
      <c r="A72" s="303"/>
      <c r="B72" s="136" t="s">
        <v>336</v>
      </c>
      <c r="C72" s="136"/>
      <c r="D72" s="136"/>
      <c r="E72" s="120"/>
      <c r="F72" s="151">
        <f>F57+I57+L57</f>
        <v>0</v>
      </c>
      <c r="G72" s="147" t="s">
        <v>320</v>
      </c>
      <c r="H72" s="160"/>
      <c r="I72" s="161"/>
      <c r="J72" s="158"/>
      <c r="K72" s="160"/>
      <c r="L72" s="161"/>
      <c r="M72" s="158"/>
      <c r="N72" s="162"/>
      <c r="O72" s="305"/>
      <c r="P72" s="162"/>
      <c r="Q72" s="162"/>
      <c r="R72" s="162"/>
      <c r="S72" s="163"/>
    </row>
    <row r="73" spans="1:19" s="108" customFormat="1" x14ac:dyDescent="0.25">
      <c r="A73" s="303"/>
      <c r="B73" s="154" t="s">
        <v>326</v>
      </c>
      <c r="C73" s="136"/>
      <c r="D73" s="136"/>
      <c r="E73" s="120"/>
      <c r="F73" s="146">
        <f>F58+I58+L58</f>
        <v>0</v>
      </c>
      <c r="G73" s="147" t="s">
        <v>320</v>
      </c>
      <c r="H73" s="160"/>
      <c r="I73" s="161"/>
      <c r="J73" s="158"/>
      <c r="K73" s="160"/>
      <c r="L73" s="161"/>
      <c r="M73" s="158"/>
      <c r="N73" s="162"/>
      <c r="O73" s="305"/>
      <c r="P73" s="162"/>
      <c r="Q73" s="162"/>
      <c r="R73" s="162"/>
      <c r="S73" s="163"/>
    </row>
    <row r="74" spans="1:19" s="108" customFormat="1" x14ac:dyDescent="0.25">
      <c r="A74" s="303"/>
      <c r="B74" s="112" t="s">
        <v>327</v>
      </c>
      <c r="C74" s="120"/>
      <c r="D74" s="120"/>
      <c r="E74" s="120"/>
      <c r="F74" s="146" t="str">
        <f>IF(S59=0,"",F73/S59)</f>
        <v/>
      </c>
      <c r="G74" s="168" t="str">
        <f>G59</f>
        <v/>
      </c>
      <c r="H74" s="160"/>
      <c r="I74" s="161"/>
      <c r="J74" s="158"/>
      <c r="K74" s="160"/>
      <c r="L74" s="161"/>
      <c r="M74" s="158"/>
      <c r="N74" s="162"/>
      <c r="O74" s="305"/>
      <c r="P74" s="162"/>
      <c r="Q74" s="162"/>
      <c r="R74" s="162"/>
      <c r="S74" s="163"/>
    </row>
    <row r="75" spans="1:19" s="108" customFormat="1" ht="7.5" customHeight="1" x14ac:dyDescent="0.25">
      <c r="A75" s="303"/>
      <c r="B75" s="120"/>
      <c r="C75" s="120"/>
      <c r="D75" s="120"/>
      <c r="E75" s="120"/>
      <c r="F75" s="153"/>
      <c r="G75" s="168"/>
      <c r="H75" s="160"/>
      <c r="I75" s="161"/>
      <c r="J75" s="158"/>
      <c r="K75" s="160"/>
      <c r="L75" s="161"/>
      <c r="M75" s="158"/>
      <c r="N75" s="162"/>
      <c r="O75" s="305"/>
      <c r="P75" s="162"/>
      <c r="Q75" s="162"/>
      <c r="R75" s="162"/>
      <c r="S75" s="163"/>
    </row>
    <row r="76" spans="1:19" s="108" customFormat="1" ht="15.75" x14ac:dyDescent="0.25">
      <c r="A76" s="303"/>
      <c r="B76" s="281" t="s">
        <v>337</v>
      </c>
      <c r="C76" s="281"/>
      <c r="D76" s="281"/>
      <c r="E76" s="120"/>
      <c r="F76" s="152"/>
      <c r="G76" s="158"/>
      <c r="H76" s="160"/>
      <c r="I76" s="161"/>
      <c r="J76" s="158"/>
      <c r="K76" s="160"/>
      <c r="L76" s="161"/>
      <c r="M76" s="158"/>
      <c r="N76" s="162"/>
      <c r="O76" s="305"/>
      <c r="P76" s="162"/>
      <c r="Q76" s="162"/>
      <c r="R76" s="162"/>
      <c r="S76" s="163"/>
    </row>
    <row r="77" spans="1:19" s="108" customFormat="1" x14ac:dyDescent="0.25">
      <c r="A77" s="303"/>
      <c r="B77" s="120" t="s">
        <v>338</v>
      </c>
      <c r="C77" s="120"/>
      <c r="D77" s="120"/>
      <c r="E77" s="120"/>
      <c r="F77" s="146">
        <f>F62+I62+L62</f>
        <v>0</v>
      </c>
      <c r="G77" s="147" t="s">
        <v>320</v>
      </c>
      <c r="H77" s="160"/>
      <c r="I77" s="161"/>
      <c r="J77" s="158"/>
      <c r="K77" s="160"/>
      <c r="L77" s="161"/>
      <c r="M77" s="158"/>
      <c r="N77" s="162"/>
      <c r="O77" s="305"/>
      <c r="P77" s="162"/>
      <c r="Q77" s="162"/>
      <c r="R77" s="162"/>
      <c r="S77" s="163"/>
    </row>
    <row r="78" spans="1:19" s="108" customFormat="1" x14ac:dyDescent="0.25">
      <c r="A78" s="303"/>
      <c r="B78" s="120" t="s">
        <v>339</v>
      </c>
      <c r="C78" s="120"/>
      <c r="D78" s="120"/>
      <c r="E78" s="120"/>
      <c r="F78" s="151">
        <f>F63+I63+L63</f>
        <v>0</v>
      </c>
      <c r="G78" s="147" t="s">
        <v>320</v>
      </c>
      <c r="H78" s="160"/>
      <c r="I78" s="161"/>
      <c r="J78" s="158"/>
      <c r="K78" s="160"/>
      <c r="L78" s="161"/>
      <c r="M78" s="158"/>
      <c r="N78" s="162"/>
      <c r="O78" s="305"/>
      <c r="P78" s="162"/>
      <c r="Q78" s="162"/>
      <c r="R78" s="162"/>
      <c r="S78" s="163"/>
    </row>
    <row r="79" spans="1:19" s="108" customFormat="1" x14ac:dyDescent="0.25">
      <c r="A79" s="303"/>
      <c r="B79" s="136" t="s">
        <v>340</v>
      </c>
      <c r="C79" s="136"/>
      <c r="D79" s="136"/>
      <c r="E79" s="120"/>
      <c r="F79" s="151">
        <f>F64+I64+L64</f>
        <v>0</v>
      </c>
      <c r="G79" s="147" t="s">
        <v>320</v>
      </c>
      <c r="H79" s="160"/>
      <c r="I79" s="161"/>
      <c r="J79" s="158"/>
      <c r="K79" s="160"/>
      <c r="L79" s="161"/>
      <c r="M79" s="158"/>
      <c r="N79" s="162"/>
      <c r="O79" s="305"/>
      <c r="P79" s="162"/>
      <c r="Q79" s="162"/>
      <c r="R79" s="162"/>
      <c r="S79" s="163"/>
    </row>
    <row r="80" spans="1:19" s="108" customFormat="1" x14ac:dyDescent="0.25">
      <c r="A80" s="303"/>
      <c r="B80" s="154" t="s">
        <v>331</v>
      </c>
      <c r="C80" s="136"/>
      <c r="D80" s="136"/>
      <c r="E80" s="120"/>
      <c r="F80" s="146">
        <f>F65+I65+L65</f>
        <v>0</v>
      </c>
      <c r="G80" s="147" t="s">
        <v>320</v>
      </c>
      <c r="H80" s="160"/>
      <c r="I80" s="161"/>
      <c r="J80" s="158"/>
      <c r="K80" s="160"/>
      <c r="L80" s="161"/>
      <c r="M80" s="158"/>
      <c r="N80" s="162"/>
      <c r="O80" s="305"/>
      <c r="P80" s="162"/>
      <c r="Q80" s="162"/>
      <c r="R80" s="162"/>
      <c r="S80" s="163"/>
    </row>
    <row r="81" spans="1:19" s="108" customFormat="1" x14ac:dyDescent="0.25">
      <c r="A81" s="303"/>
      <c r="B81" s="112" t="s">
        <v>332</v>
      </c>
      <c r="C81" s="120"/>
      <c r="D81" s="120"/>
      <c r="E81" s="120"/>
      <c r="F81" s="146" t="str">
        <f>IF(S59=0,"",SUM(F80/S59))</f>
        <v/>
      </c>
      <c r="G81" s="168" t="str">
        <f>G74</f>
        <v/>
      </c>
      <c r="H81" s="160"/>
      <c r="I81" s="161"/>
      <c r="J81" s="158"/>
      <c r="K81" s="160"/>
      <c r="L81" s="161"/>
      <c r="M81" s="158"/>
      <c r="N81" s="162"/>
      <c r="O81" s="305"/>
      <c r="P81" s="162"/>
      <c r="Q81" s="162"/>
      <c r="R81" s="162"/>
      <c r="S81" s="163"/>
    </row>
    <row r="82" spans="1:19" s="108" customFormat="1" ht="7.5" customHeight="1" x14ac:dyDescent="0.25">
      <c r="A82" s="303"/>
      <c r="B82" s="112"/>
      <c r="C82" s="120"/>
      <c r="D82" s="120"/>
      <c r="E82" s="120"/>
      <c r="F82" s="161"/>
      <c r="G82" s="158"/>
      <c r="H82" s="160"/>
      <c r="I82" s="161"/>
      <c r="J82" s="158"/>
      <c r="K82" s="160"/>
      <c r="L82" s="161"/>
      <c r="M82" s="158"/>
      <c r="N82" s="162"/>
      <c r="O82" s="305"/>
      <c r="P82" s="162"/>
      <c r="Q82" s="162"/>
      <c r="R82" s="162"/>
      <c r="S82" s="163"/>
    </row>
    <row r="83" spans="1:19" s="108" customFormat="1" ht="14.25" x14ac:dyDescent="0.2">
      <c r="A83" s="303"/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</row>
    <row r="84" spans="1:19" s="108" customFormat="1" ht="7.5" customHeight="1" x14ac:dyDescent="0.2"/>
    <row r="85" spans="1:19" s="110" customFormat="1" ht="18" x14ac:dyDescent="0.25">
      <c r="A85" s="284"/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</row>
    <row r="86" spans="1:19" s="108" customFormat="1" ht="15.75" customHeight="1" x14ac:dyDescent="0.2">
      <c r="A86" s="284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</row>
    <row r="87" spans="1:19" s="40" customFormat="1" ht="6" customHeight="1" x14ac:dyDescent="0.25">
      <c r="K87" s="169"/>
      <c r="L87" s="169"/>
    </row>
    <row r="88" spans="1:19" s="176" customFormat="1" ht="17.25" customHeight="1" x14ac:dyDescent="0.25">
      <c r="A88" s="170" t="s">
        <v>806</v>
      </c>
      <c r="B88" s="170"/>
      <c r="C88" s="170"/>
      <c r="D88" s="171"/>
      <c r="E88" s="171"/>
      <c r="F88" s="171"/>
      <c r="G88" s="172"/>
      <c r="H88" s="173" t="s">
        <v>745</v>
      </c>
      <c r="I88" s="174"/>
      <c r="J88" s="172"/>
      <c r="K88" s="174"/>
      <c r="L88" s="174"/>
      <c r="M88" s="172"/>
      <c r="N88" s="172"/>
      <c r="O88" s="175" t="s">
        <v>822</v>
      </c>
    </row>
    <row r="89" spans="1:19" s="176" customFormat="1" ht="18" customHeight="1" x14ac:dyDescent="0.25">
      <c r="A89" s="177"/>
      <c r="B89" s="178"/>
      <c r="C89" s="178"/>
      <c r="D89" s="178"/>
      <c r="E89" s="179"/>
      <c r="F89" s="179"/>
      <c r="G89" s="179"/>
      <c r="H89" s="179"/>
      <c r="I89" s="180"/>
      <c r="J89" s="180"/>
    </row>
    <row r="90" spans="1:19" s="40" customFormat="1" x14ac:dyDescent="0.25">
      <c r="A90" s="181"/>
      <c r="B90" s="108"/>
      <c r="E90" s="181"/>
      <c r="F90" s="182"/>
      <c r="H90" s="169"/>
      <c r="J90" s="181"/>
    </row>
    <row r="91" spans="1:19" s="40" customFormat="1" x14ac:dyDescent="0.25">
      <c r="A91" s="183"/>
      <c r="B91" s="108"/>
      <c r="E91" s="184"/>
      <c r="F91" s="185"/>
      <c r="H91" s="169"/>
      <c r="J91" s="184"/>
    </row>
    <row r="92" spans="1:19" s="40" customFormat="1" ht="7.5" customHeight="1" x14ac:dyDescent="0.25"/>
    <row r="93" spans="1:19" s="195" customFormat="1" ht="18" customHeight="1" x14ac:dyDescent="0.25">
      <c r="A93" s="186"/>
      <c r="B93" s="194"/>
      <c r="F93" s="196"/>
      <c r="H93" s="194"/>
      <c r="I93" s="194"/>
      <c r="J93" s="194"/>
    </row>
    <row r="94" spans="1:19" s="195" customFormat="1" ht="18" customHeight="1" x14ac:dyDescent="0.25">
      <c r="A94" s="186"/>
      <c r="B94" s="194"/>
      <c r="F94" s="197"/>
      <c r="H94" s="194"/>
      <c r="I94" s="194"/>
      <c r="J94" s="194"/>
    </row>
    <row r="95" spans="1:19" s="195" customFormat="1" ht="18" customHeight="1" x14ac:dyDescent="0.25">
      <c r="A95" s="186"/>
      <c r="B95" s="194"/>
      <c r="F95" s="197"/>
      <c r="H95" s="194"/>
      <c r="I95" s="194"/>
      <c r="J95" s="194"/>
    </row>
    <row r="96" spans="1:19" s="195" customFormat="1" ht="18" customHeight="1" x14ac:dyDescent="0.25">
      <c r="A96" s="186"/>
      <c r="B96" s="194"/>
      <c r="F96" s="197"/>
      <c r="H96" s="194"/>
      <c r="I96" s="194"/>
      <c r="J96" s="194"/>
    </row>
    <row r="97" spans="1:10" s="195" customFormat="1" ht="18" customHeight="1" x14ac:dyDescent="0.25">
      <c r="A97" s="186"/>
      <c r="B97" s="194"/>
      <c r="F97" s="197"/>
      <c r="H97" s="194"/>
      <c r="I97" s="194"/>
      <c r="J97" s="194"/>
    </row>
    <row r="98" spans="1:10" s="195" customFormat="1" ht="18" customHeight="1" x14ac:dyDescent="0.25">
      <c r="A98" s="186"/>
      <c r="B98" s="194"/>
      <c r="F98" s="197"/>
      <c r="H98" s="194"/>
      <c r="I98" s="194"/>
      <c r="J98" s="194"/>
    </row>
    <row r="99" spans="1:10" s="40" customFormat="1" x14ac:dyDescent="0.25"/>
    <row r="100" spans="1:10" s="40" customFormat="1" x14ac:dyDescent="0.25"/>
    <row r="101" spans="1:10" s="40" customFormat="1" x14ac:dyDescent="0.25"/>
    <row r="102" spans="1:10" s="40" customFormat="1" x14ac:dyDescent="0.25"/>
    <row r="103" spans="1:10" s="40" customFormat="1" x14ac:dyDescent="0.25"/>
    <row r="104" spans="1:10" s="40" customFormat="1" x14ac:dyDescent="0.25"/>
    <row r="105" spans="1:10" s="40" customFormat="1" x14ac:dyDescent="0.25"/>
    <row r="106" spans="1:10" s="40" customFormat="1" x14ac:dyDescent="0.25"/>
    <row r="107" spans="1:10" s="40" customFormat="1" x14ac:dyDescent="0.25"/>
    <row r="108" spans="1:10" s="40" customFormat="1" x14ac:dyDescent="0.25"/>
    <row r="109" spans="1:10" s="40" customFormat="1" x14ac:dyDescent="0.25"/>
    <row r="110" spans="1:10" s="40" customFormat="1" x14ac:dyDescent="0.25"/>
    <row r="111" spans="1:10" s="40" customFormat="1" x14ac:dyDescent="0.25"/>
    <row r="112" spans="1:10" s="40" customFormat="1" x14ac:dyDescent="0.25"/>
    <row r="113" s="40" customFormat="1" x14ac:dyDescent="0.25"/>
    <row r="114" s="40" customFormat="1" x14ac:dyDescent="0.25"/>
    <row r="115" s="40" customFormat="1" x14ac:dyDescent="0.25"/>
    <row r="116" s="40" customFormat="1" x14ac:dyDescent="0.25"/>
    <row r="117" s="40" customFormat="1" x14ac:dyDescent="0.25"/>
    <row r="118" s="40" customFormat="1" x14ac:dyDescent="0.25"/>
    <row r="119" s="40" customFormat="1" x14ac:dyDescent="0.25"/>
    <row r="120" s="40" customFormat="1" x14ac:dyDescent="0.25"/>
    <row r="121" s="40" customFormat="1" x14ac:dyDescent="0.25"/>
    <row r="122" s="40" customFormat="1" x14ac:dyDescent="0.25"/>
    <row r="123" s="40" customFormat="1" x14ac:dyDescent="0.25"/>
    <row r="124" s="40" customFormat="1" x14ac:dyDescent="0.25"/>
    <row r="125" s="40" customFormat="1" x14ac:dyDescent="0.25"/>
    <row r="126" s="40" customFormat="1" x14ac:dyDescent="0.25"/>
    <row r="127" s="40" customFormat="1" x14ac:dyDescent="0.25"/>
    <row r="128" s="40" customFormat="1" x14ac:dyDescent="0.25"/>
    <row r="129" s="40" customFormat="1" x14ac:dyDescent="0.25"/>
    <row r="130" s="40" customFormat="1" x14ac:dyDescent="0.25"/>
    <row r="131" s="40" customFormat="1" x14ac:dyDescent="0.25"/>
    <row r="132" s="40" customFormat="1" x14ac:dyDescent="0.25"/>
    <row r="133" s="40" customFormat="1" x14ac:dyDescent="0.25"/>
    <row r="134" s="40" customFormat="1" x14ac:dyDescent="0.25"/>
    <row r="135" s="40" customFormat="1" x14ac:dyDescent="0.25"/>
    <row r="136" s="40" customFormat="1" x14ac:dyDescent="0.25"/>
    <row r="137" s="40" customFormat="1" x14ac:dyDescent="0.25"/>
    <row r="138" s="40" customFormat="1" x14ac:dyDescent="0.25"/>
    <row r="139" s="40" customFormat="1" x14ac:dyDescent="0.25"/>
  </sheetData>
  <mergeCells count="33">
    <mergeCell ref="A85:O86"/>
    <mergeCell ref="S23:T23"/>
    <mergeCell ref="S25:T25"/>
    <mergeCell ref="S27:T27"/>
    <mergeCell ref="B69:D69"/>
    <mergeCell ref="B76:D76"/>
    <mergeCell ref="I23:J23"/>
    <mergeCell ref="L23:M23"/>
    <mergeCell ref="B40:D40"/>
    <mergeCell ref="B51:N51"/>
    <mergeCell ref="F23:G23"/>
    <mergeCell ref="B68:N68"/>
    <mergeCell ref="B61:D61"/>
    <mergeCell ref="L27:M27"/>
    <mergeCell ref="F25:G25"/>
    <mergeCell ref="L52:M52"/>
    <mergeCell ref="B33:D33"/>
    <mergeCell ref="Y23:Z23"/>
    <mergeCell ref="B45:D45"/>
    <mergeCell ref="Y25:Z25"/>
    <mergeCell ref="V27:W27"/>
    <mergeCell ref="Y27:Z27"/>
    <mergeCell ref="F27:G27"/>
    <mergeCell ref="I27:J27"/>
    <mergeCell ref="V23:W23"/>
    <mergeCell ref="B14:N14"/>
    <mergeCell ref="L22:M22"/>
    <mergeCell ref="V25:W25"/>
    <mergeCell ref="Q19:AB19"/>
    <mergeCell ref="J18:N18"/>
    <mergeCell ref="L25:M25"/>
    <mergeCell ref="I25:J25"/>
    <mergeCell ref="Y22:Z22"/>
  </mergeCells>
  <dataValidations count="2">
    <dataValidation type="list" allowBlank="1" showInputMessage="1" showErrorMessage="1" sqref="Y23:Z23 I23:J23 L23:M23 S23:T23 V23:W23 F23:G23" xr:uid="{00000000-0002-0000-0000-000000000000}">
      <formula1>Category</formula1>
    </dataValidation>
    <dataValidation type="list" allowBlank="1" showInputMessage="1" showErrorMessage="1" sqref="Y27 I27 F25 L27 V27 L25 S25 Y25 V25 S27 I25 F27" xr:uid="{00000000-0002-0000-0000-000001000000}">
      <formula1>INDIRECT(SUBSTITUTE(F23," ",""))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scale="56" orientation="portrait" r:id="rId1"/>
  <colBreaks count="1" manualBreakCount="1">
    <brk id="15" max="1048575" man="1"/>
  </colBreaks>
  <ignoredErrors>
    <ignoredError sqref="F38:L40 G34:H37 F43:L45 G41:H42 G49:H49 G46:H48 J34:K37 J41:K42 J46:K48 K4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R68"/>
  <sheetViews>
    <sheetView topLeftCell="B1" zoomScale="80" zoomScaleNormal="80" workbookViewId="0">
      <selection activeCell="M40" sqref="M40"/>
    </sheetView>
  </sheetViews>
  <sheetFormatPr defaultRowHeight="15" x14ac:dyDescent="0.25"/>
  <cols>
    <col min="1" max="1" width="38.140625" customWidth="1"/>
    <col min="2" max="2" width="2.7109375" style="2" customWidth="1"/>
    <col min="3" max="3" width="36.7109375" style="3" customWidth="1"/>
    <col min="4" max="4" width="2.7109375" style="14" customWidth="1"/>
    <col min="5" max="5" width="37.5703125" style="14" customWidth="1"/>
    <col min="6" max="6" width="2.7109375" customWidth="1"/>
    <col min="7" max="7" width="37.42578125" customWidth="1"/>
    <col min="8" max="8" width="2.7109375" style="6" customWidth="1"/>
    <col min="9" max="9" width="36.7109375" customWidth="1"/>
    <col min="10" max="10" width="2.7109375" style="6" customWidth="1"/>
    <col min="11" max="11" width="42" customWidth="1"/>
    <col min="12" max="12" width="2.7109375" customWidth="1"/>
    <col min="13" max="13" width="36.7109375" customWidth="1"/>
    <col min="14" max="14" width="2.7109375" customWidth="1"/>
  </cols>
  <sheetData>
    <row r="1" spans="1:18" x14ac:dyDescent="0.25">
      <c r="A1" s="37" t="s">
        <v>356</v>
      </c>
      <c r="C1" s="37" t="s">
        <v>6</v>
      </c>
      <c r="D1" s="21"/>
      <c r="E1" s="37" t="s">
        <v>17</v>
      </c>
      <c r="G1" s="37" t="s">
        <v>18</v>
      </c>
      <c r="I1" s="37" t="s">
        <v>27</v>
      </c>
      <c r="K1" s="37" t="s">
        <v>19</v>
      </c>
      <c r="M1" s="37" t="s">
        <v>16</v>
      </c>
    </row>
    <row r="2" spans="1:18" x14ac:dyDescent="0.25">
      <c r="A2" s="38" t="s">
        <v>155</v>
      </c>
      <c r="C2" s="20" t="s">
        <v>283</v>
      </c>
      <c r="E2" s="39" t="s">
        <v>286</v>
      </c>
      <c r="G2" s="38" t="s">
        <v>342</v>
      </c>
      <c r="I2" s="20" t="s">
        <v>293</v>
      </c>
      <c r="K2" s="20" t="s">
        <v>352</v>
      </c>
      <c r="M2" s="20" t="s">
        <v>303</v>
      </c>
      <c r="R2" s="17"/>
    </row>
    <row r="3" spans="1:18" x14ac:dyDescent="0.25">
      <c r="A3" s="16" t="s">
        <v>740</v>
      </c>
      <c r="B3" s="17"/>
      <c r="C3" s="25" t="s">
        <v>7</v>
      </c>
      <c r="E3" s="22" t="s">
        <v>164</v>
      </c>
      <c r="G3" s="4" t="s">
        <v>200</v>
      </c>
      <c r="I3" s="27" t="s">
        <v>230</v>
      </c>
      <c r="K3" s="4" t="s">
        <v>245</v>
      </c>
      <c r="M3" s="4" t="s">
        <v>834</v>
      </c>
    </row>
    <row r="4" spans="1:18" x14ac:dyDescent="0.25">
      <c r="A4" s="16" t="s">
        <v>6</v>
      </c>
      <c r="B4" s="17"/>
      <c r="C4" s="25" t="s">
        <v>21</v>
      </c>
      <c r="E4" s="22" t="s">
        <v>163</v>
      </c>
      <c r="G4" s="4" t="s">
        <v>201</v>
      </c>
      <c r="I4" s="27" t="s">
        <v>231</v>
      </c>
      <c r="K4" s="4" t="s">
        <v>246</v>
      </c>
      <c r="M4" s="4" t="s">
        <v>835</v>
      </c>
    </row>
    <row r="5" spans="1:18" x14ac:dyDescent="0.25">
      <c r="A5" s="16" t="s">
        <v>280</v>
      </c>
      <c r="B5" s="17"/>
      <c r="C5" s="23"/>
      <c r="E5" s="22" t="s">
        <v>162</v>
      </c>
      <c r="G5" s="4" t="s">
        <v>202</v>
      </c>
      <c r="I5" s="27" t="s">
        <v>232</v>
      </c>
      <c r="K5" s="4" t="s">
        <v>247</v>
      </c>
      <c r="M5" s="4" t="s">
        <v>836</v>
      </c>
    </row>
    <row r="6" spans="1:18" x14ac:dyDescent="0.25">
      <c r="A6" s="16" t="s">
        <v>281</v>
      </c>
      <c r="B6" s="17"/>
      <c r="C6" s="33"/>
      <c r="E6" s="22" t="s">
        <v>165</v>
      </c>
      <c r="G6" s="2"/>
      <c r="I6" s="34"/>
      <c r="K6" s="2"/>
      <c r="M6" s="4" t="s">
        <v>837</v>
      </c>
    </row>
    <row r="7" spans="1:18" ht="16.5" x14ac:dyDescent="0.3">
      <c r="A7" s="16" t="s">
        <v>27</v>
      </c>
      <c r="B7" s="17"/>
      <c r="C7" s="20" t="s">
        <v>284</v>
      </c>
      <c r="D7" s="15"/>
      <c r="E7" s="22" t="s">
        <v>166</v>
      </c>
      <c r="G7" s="20" t="s">
        <v>292</v>
      </c>
      <c r="I7" s="20" t="s">
        <v>294</v>
      </c>
      <c r="K7" s="20" t="s">
        <v>353</v>
      </c>
      <c r="M7" s="231"/>
    </row>
    <row r="8" spans="1:18" ht="16.5" x14ac:dyDescent="0.3">
      <c r="A8" s="16" t="s">
        <v>282</v>
      </c>
      <c r="B8" s="17"/>
      <c r="C8" s="24" t="s">
        <v>159</v>
      </c>
      <c r="D8" s="15"/>
      <c r="E8" s="22" t="s">
        <v>167</v>
      </c>
      <c r="G8" s="4" t="s">
        <v>203</v>
      </c>
      <c r="I8" s="4" t="s">
        <v>234</v>
      </c>
      <c r="K8" s="4" t="s">
        <v>248</v>
      </c>
      <c r="M8" s="37" t="s">
        <v>20</v>
      </c>
    </row>
    <row r="9" spans="1:18" x14ac:dyDescent="0.25">
      <c r="A9" s="16" t="s">
        <v>16</v>
      </c>
      <c r="B9" s="17"/>
      <c r="C9" s="23" t="s">
        <v>160</v>
      </c>
      <c r="E9" s="21"/>
      <c r="G9" s="4" t="s">
        <v>204</v>
      </c>
      <c r="I9" s="4" t="s">
        <v>233</v>
      </c>
      <c r="K9" s="4" t="s">
        <v>249</v>
      </c>
      <c r="M9" s="20" t="s">
        <v>304</v>
      </c>
    </row>
    <row r="10" spans="1:18" ht="16.5" x14ac:dyDescent="0.3">
      <c r="A10" s="16" t="s">
        <v>20</v>
      </c>
      <c r="C10" s="23" t="s">
        <v>161</v>
      </c>
      <c r="D10" s="15"/>
      <c r="E10" s="20" t="s">
        <v>287</v>
      </c>
      <c r="G10" s="4" t="s">
        <v>205</v>
      </c>
      <c r="I10" s="2"/>
      <c r="K10" s="4" t="s">
        <v>250</v>
      </c>
      <c r="M10" s="4" t="s">
        <v>261</v>
      </c>
    </row>
    <row r="11" spans="1:18" x14ac:dyDescent="0.25">
      <c r="C11" s="33"/>
      <c r="E11" s="26" t="s">
        <v>169</v>
      </c>
      <c r="G11" s="2"/>
      <c r="I11" s="20" t="s">
        <v>295</v>
      </c>
      <c r="K11" s="2"/>
      <c r="M11" s="4" t="s">
        <v>262</v>
      </c>
    </row>
    <row r="12" spans="1:18" x14ac:dyDescent="0.25">
      <c r="A12" s="38" t="s">
        <v>6</v>
      </c>
      <c r="C12" s="20" t="s">
        <v>285</v>
      </c>
      <c r="E12" s="26" t="s">
        <v>170</v>
      </c>
      <c r="G12" s="20" t="s">
        <v>345</v>
      </c>
      <c r="I12" s="4" t="s">
        <v>235</v>
      </c>
      <c r="K12" s="20" t="s">
        <v>298</v>
      </c>
      <c r="M12" s="4" t="s">
        <v>263</v>
      </c>
    </row>
    <row r="13" spans="1:18" x14ac:dyDescent="0.25">
      <c r="A13" s="16" t="s">
        <v>283</v>
      </c>
      <c r="C13" s="23" t="s">
        <v>156</v>
      </c>
      <c r="E13" s="26" t="s">
        <v>168</v>
      </c>
      <c r="G13" s="25" t="s">
        <v>206</v>
      </c>
      <c r="I13" s="4" t="s">
        <v>236</v>
      </c>
      <c r="K13" s="4" t="s">
        <v>251</v>
      </c>
    </row>
    <row r="14" spans="1:18" x14ac:dyDescent="0.25">
      <c r="A14" s="16" t="s">
        <v>284</v>
      </c>
      <c r="C14" s="23" t="s">
        <v>157</v>
      </c>
      <c r="E14" s="26" t="s">
        <v>171</v>
      </c>
      <c r="G14" s="25" t="s">
        <v>207</v>
      </c>
      <c r="I14" s="2"/>
      <c r="K14" s="2"/>
      <c r="M14" s="20" t="s">
        <v>305</v>
      </c>
    </row>
    <row r="15" spans="1:18" x14ac:dyDescent="0.25">
      <c r="A15" s="16" t="s">
        <v>285</v>
      </c>
      <c r="C15" s="23" t="s">
        <v>158</v>
      </c>
      <c r="E15" s="26" t="s">
        <v>172</v>
      </c>
      <c r="G15" s="25" t="s">
        <v>208</v>
      </c>
      <c r="I15" s="20" t="s">
        <v>296</v>
      </c>
      <c r="K15" s="20" t="s">
        <v>299</v>
      </c>
      <c r="M15" s="4" t="s">
        <v>264</v>
      </c>
    </row>
    <row r="16" spans="1:18" x14ac:dyDescent="0.25">
      <c r="A16" s="16" t="s">
        <v>15</v>
      </c>
      <c r="C16" s="33"/>
      <c r="E16" s="26" t="s">
        <v>173</v>
      </c>
      <c r="G16" s="2"/>
      <c r="I16" s="4" t="s">
        <v>237</v>
      </c>
      <c r="K16" s="4" t="s">
        <v>252</v>
      </c>
      <c r="M16" s="4" t="s">
        <v>265</v>
      </c>
    </row>
    <row r="17" spans="1:13" x14ac:dyDescent="0.25">
      <c r="C17" s="20" t="s">
        <v>15</v>
      </c>
      <c r="E17" s="26" t="s">
        <v>174</v>
      </c>
      <c r="G17" s="20" t="s">
        <v>346</v>
      </c>
      <c r="I17" s="4" t="s">
        <v>238</v>
      </c>
      <c r="K17" s="2"/>
      <c r="M17" s="4" t="s">
        <v>266</v>
      </c>
    </row>
    <row r="18" spans="1:13" x14ac:dyDescent="0.25">
      <c r="A18" s="20" t="s">
        <v>280</v>
      </c>
      <c r="C18" s="25" t="s">
        <v>28</v>
      </c>
      <c r="E18" s="26" t="s">
        <v>175</v>
      </c>
      <c r="G18" s="4" t="s">
        <v>209</v>
      </c>
      <c r="I18" s="4" t="s">
        <v>239</v>
      </c>
      <c r="K18" s="20" t="s">
        <v>300</v>
      </c>
    </row>
    <row r="19" spans="1:13" x14ac:dyDescent="0.25">
      <c r="A19" s="16" t="s">
        <v>286</v>
      </c>
      <c r="C19" s="25" t="s">
        <v>29</v>
      </c>
      <c r="E19" s="26" t="s">
        <v>176</v>
      </c>
      <c r="G19" s="4" t="s">
        <v>210</v>
      </c>
      <c r="I19" s="2"/>
      <c r="K19" s="4" t="s">
        <v>253</v>
      </c>
      <c r="M19" s="20" t="s">
        <v>306</v>
      </c>
    </row>
    <row r="20" spans="1:13" x14ac:dyDescent="0.25">
      <c r="A20" s="16" t="s">
        <v>287</v>
      </c>
      <c r="C20" s="25" t="s">
        <v>11</v>
      </c>
      <c r="E20" s="26" t="s">
        <v>177</v>
      </c>
      <c r="G20" s="4" t="s">
        <v>211</v>
      </c>
      <c r="I20" s="20" t="s">
        <v>297</v>
      </c>
      <c r="K20" s="2"/>
      <c r="M20" s="4" t="s">
        <v>267</v>
      </c>
    </row>
    <row r="21" spans="1:13" x14ac:dyDescent="0.25">
      <c r="A21" s="16" t="s">
        <v>341</v>
      </c>
      <c r="C21" s="25" t="s">
        <v>8</v>
      </c>
      <c r="E21" s="26" t="s">
        <v>178</v>
      </c>
      <c r="G21" s="4" t="s">
        <v>212</v>
      </c>
      <c r="I21" s="25" t="s">
        <v>240</v>
      </c>
      <c r="K21" s="20" t="s">
        <v>347</v>
      </c>
      <c r="M21" s="4" t="s">
        <v>268</v>
      </c>
    </row>
    <row r="22" spans="1:13" x14ac:dyDescent="0.25">
      <c r="A22" s="237" t="s">
        <v>815</v>
      </c>
      <c r="C22" s="25" t="s">
        <v>9</v>
      </c>
      <c r="E22" s="26" t="s">
        <v>179</v>
      </c>
      <c r="G22" s="4" t="s">
        <v>213</v>
      </c>
      <c r="I22" s="25" t="s">
        <v>241</v>
      </c>
      <c r="K22" s="4" t="s">
        <v>254</v>
      </c>
    </row>
    <row r="23" spans="1:13" x14ac:dyDescent="0.25">
      <c r="A23" s="16" t="s">
        <v>288</v>
      </c>
      <c r="C23" s="34"/>
      <c r="E23" s="26" t="s">
        <v>180</v>
      </c>
      <c r="G23" s="4" t="s">
        <v>214</v>
      </c>
      <c r="I23" s="25" t="s">
        <v>242</v>
      </c>
      <c r="K23" s="4" t="s">
        <v>257</v>
      </c>
      <c r="M23" s="20" t="s">
        <v>307</v>
      </c>
    </row>
    <row r="24" spans="1:13" x14ac:dyDescent="0.25">
      <c r="A24" s="16" t="s">
        <v>289</v>
      </c>
      <c r="E24" s="26" t="s">
        <v>181</v>
      </c>
      <c r="G24" s="2"/>
      <c r="I24" s="25" t="s">
        <v>243</v>
      </c>
      <c r="K24" s="2"/>
      <c r="M24" s="4" t="s">
        <v>269</v>
      </c>
    </row>
    <row r="25" spans="1:13" x14ac:dyDescent="0.25">
      <c r="A25" s="16" t="s">
        <v>290</v>
      </c>
      <c r="C25" s="18"/>
      <c r="E25" s="26" t="s">
        <v>182</v>
      </c>
      <c r="G25" s="20" t="s">
        <v>348</v>
      </c>
      <c r="I25" s="25" t="s">
        <v>244</v>
      </c>
      <c r="K25" s="20" t="s">
        <v>705</v>
      </c>
    </row>
    <row r="26" spans="1:13" x14ac:dyDescent="0.25">
      <c r="A26" s="16" t="s">
        <v>291</v>
      </c>
      <c r="E26" s="26" t="s">
        <v>183</v>
      </c>
      <c r="G26" s="4" t="s">
        <v>215</v>
      </c>
      <c r="I26" s="2"/>
      <c r="K26" s="4" t="s">
        <v>255</v>
      </c>
      <c r="M26" s="20" t="s">
        <v>308</v>
      </c>
    </row>
    <row r="27" spans="1:13" x14ac:dyDescent="0.25">
      <c r="C27" s="18"/>
      <c r="E27" s="35"/>
      <c r="G27" s="4" t="s">
        <v>216</v>
      </c>
      <c r="I27" s="28"/>
      <c r="K27" s="4" t="s">
        <v>256</v>
      </c>
      <c r="M27" s="4" t="s">
        <v>270</v>
      </c>
    </row>
    <row r="28" spans="1:13" x14ac:dyDescent="0.25">
      <c r="A28" s="20" t="s">
        <v>281</v>
      </c>
      <c r="E28" s="20" t="s">
        <v>341</v>
      </c>
      <c r="G28" s="4" t="s">
        <v>217</v>
      </c>
      <c r="K28" s="2"/>
      <c r="M28" s="4" t="s">
        <v>271</v>
      </c>
    </row>
    <row r="29" spans="1:13" x14ac:dyDescent="0.25">
      <c r="A29" s="4" t="s">
        <v>342</v>
      </c>
      <c r="E29" s="26" t="s">
        <v>73</v>
      </c>
      <c r="G29" s="4" t="s">
        <v>218</v>
      </c>
      <c r="K29" s="20" t="s">
        <v>301</v>
      </c>
    </row>
    <row r="30" spans="1:13" x14ac:dyDescent="0.25">
      <c r="A30" s="4" t="s">
        <v>292</v>
      </c>
      <c r="E30" s="26" t="s">
        <v>65</v>
      </c>
      <c r="G30" s="4" t="s">
        <v>219</v>
      </c>
      <c r="K30" s="25" t="s">
        <v>258</v>
      </c>
      <c r="M30" s="20" t="s">
        <v>354</v>
      </c>
    </row>
    <row r="31" spans="1:13" x14ac:dyDescent="0.25">
      <c r="A31" s="4" t="s">
        <v>345</v>
      </c>
      <c r="E31" s="26" t="s">
        <v>66</v>
      </c>
      <c r="G31" s="2"/>
      <c r="K31" s="25" t="s">
        <v>259</v>
      </c>
      <c r="M31" s="4" t="s">
        <v>272</v>
      </c>
    </row>
    <row r="32" spans="1:13" x14ac:dyDescent="0.25">
      <c r="A32" s="4" t="s">
        <v>346</v>
      </c>
      <c r="E32" s="26" t="s">
        <v>74</v>
      </c>
      <c r="G32" s="20" t="s">
        <v>349</v>
      </c>
      <c r="K32" s="25" t="s">
        <v>260</v>
      </c>
      <c r="M32" s="4" t="s">
        <v>273</v>
      </c>
    </row>
    <row r="33" spans="1:13" x14ac:dyDescent="0.25">
      <c r="A33" s="4" t="s">
        <v>348</v>
      </c>
      <c r="E33" s="35"/>
      <c r="G33" s="4" t="s">
        <v>220</v>
      </c>
      <c r="I33" s="28"/>
      <c r="K33" s="2"/>
      <c r="M33" s="4" t="s">
        <v>274</v>
      </c>
    </row>
    <row r="34" spans="1:13" x14ac:dyDescent="0.25">
      <c r="A34" s="4" t="s">
        <v>349</v>
      </c>
      <c r="E34" s="20" t="s">
        <v>288</v>
      </c>
      <c r="G34" s="4" t="s">
        <v>221</v>
      </c>
      <c r="K34" s="20" t="s">
        <v>302</v>
      </c>
      <c r="M34" s="4" t="s">
        <v>275</v>
      </c>
    </row>
    <row r="35" spans="1:13" x14ac:dyDescent="0.25">
      <c r="A35" s="4" t="s">
        <v>350</v>
      </c>
      <c r="E35" s="19" t="s">
        <v>184</v>
      </c>
      <c r="G35" s="4" t="s">
        <v>222</v>
      </c>
      <c r="I35" s="28"/>
      <c r="K35" s="31" t="s">
        <v>824</v>
      </c>
      <c r="M35" s="4" t="s">
        <v>276</v>
      </c>
    </row>
    <row r="36" spans="1:13" x14ac:dyDescent="0.25">
      <c r="A36" s="4" t="s">
        <v>807</v>
      </c>
      <c r="E36" s="19" t="s">
        <v>185</v>
      </c>
      <c r="G36" s="2"/>
      <c r="K36" s="32" t="s">
        <v>825</v>
      </c>
      <c r="M36" s="4" t="s">
        <v>277</v>
      </c>
    </row>
    <row r="37" spans="1:13" x14ac:dyDescent="0.25">
      <c r="A37" s="4" t="s">
        <v>351</v>
      </c>
      <c r="E37" s="19" t="s">
        <v>186</v>
      </c>
      <c r="G37" s="20" t="s">
        <v>350</v>
      </c>
      <c r="K37" s="31" t="s">
        <v>826</v>
      </c>
      <c r="M37" s="4" t="s">
        <v>278</v>
      </c>
    </row>
    <row r="38" spans="1:13" x14ac:dyDescent="0.25">
      <c r="A38" s="4" t="s">
        <v>343</v>
      </c>
      <c r="E38" s="21"/>
      <c r="G38" s="4" t="s">
        <v>223</v>
      </c>
      <c r="K38" s="31" t="s">
        <v>827</v>
      </c>
      <c r="M38" s="4" t="s">
        <v>279</v>
      </c>
    </row>
    <row r="39" spans="1:13" x14ac:dyDescent="0.25">
      <c r="E39" s="20" t="s">
        <v>289</v>
      </c>
      <c r="G39" s="4" t="s">
        <v>224</v>
      </c>
      <c r="K39" s="31" t="s">
        <v>828</v>
      </c>
      <c r="M39" s="231"/>
    </row>
    <row r="40" spans="1:13" x14ac:dyDescent="0.25">
      <c r="A40" s="20" t="s">
        <v>27</v>
      </c>
      <c r="E40" s="19" t="s">
        <v>188</v>
      </c>
      <c r="G40" s="2"/>
      <c r="K40" s="5"/>
    </row>
    <row r="41" spans="1:13" x14ac:dyDescent="0.25">
      <c r="A41" s="4" t="s">
        <v>293</v>
      </c>
      <c r="E41" s="19" t="s">
        <v>187</v>
      </c>
      <c r="G41" s="20" t="s">
        <v>351</v>
      </c>
    </row>
    <row r="42" spans="1:13" x14ac:dyDescent="0.25">
      <c r="A42" s="4" t="s">
        <v>294</v>
      </c>
      <c r="E42" s="19" t="s">
        <v>189</v>
      </c>
      <c r="G42" s="4" t="s">
        <v>225</v>
      </c>
      <c r="K42" s="1"/>
    </row>
    <row r="43" spans="1:13" x14ac:dyDescent="0.25">
      <c r="A43" s="4" t="s">
        <v>295</v>
      </c>
      <c r="E43" s="19" t="s">
        <v>190</v>
      </c>
      <c r="G43" s="4" t="s">
        <v>226</v>
      </c>
      <c r="K43" s="1"/>
    </row>
    <row r="44" spans="1:13" x14ac:dyDescent="0.25">
      <c r="A44" s="4" t="s">
        <v>296</v>
      </c>
      <c r="E44" s="19" t="s">
        <v>191</v>
      </c>
      <c r="G44" s="4" t="s">
        <v>227</v>
      </c>
    </row>
    <row r="45" spans="1:13" x14ac:dyDescent="0.25">
      <c r="A45" s="4" t="s">
        <v>297</v>
      </c>
      <c r="E45" s="19" t="s">
        <v>192</v>
      </c>
      <c r="G45" s="4" t="s">
        <v>228</v>
      </c>
      <c r="K45" s="1"/>
    </row>
    <row r="46" spans="1:13" x14ac:dyDescent="0.25">
      <c r="E46" s="21"/>
      <c r="G46" s="4" t="s">
        <v>229</v>
      </c>
      <c r="K46" s="1"/>
    </row>
    <row r="47" spans="1:13" x14ac:dyDescent="0.25">
      <c r="A47" s="20" t="s">
        <v>282</v>
      </c>
      <c r="E47" s="20" t="s">
        <v>290</v>
      </c>
      <c r="G47" s="2"/>
    </row>
    <row r="48" spans="1:13" x14ac:dyDescent="0.25">
      <c r="A48" s="4" t="s">
        <v>352</v>
      </c>
      <c r="E48" s="19" t="s">
        <v>193</v>
      </c>
      <c r="G48" s="20" t="s">
        <v>343</v>
      </c>
    </row>
    <row r="49" spans="1:13" x14ac:dyDescent="0.25">
      <c r="A49" s="4" t="s">
        <v>353</v>
      </c>
      <c r="E49" s="19" t="s">
        <v>194</v>
      </c>
      <c r="G49" s="4" t="s">
        <v>344</v>
      </c>
    </row>
    <row r="50" spans="1:13" x14ac:dyDescent="0.25">
      <c r="A50" s="4" t="s">
        <v>298</v>
      </c>
      <c r="E50" s="19" t="s">
        <v>195</v>
      </c>
      <c r="G50" s="2"/>
    </row>
    <row r="51" spans="1:13" x14ac:dyDescent="0.25">
      <c r="A51" s="4" t="s">
        <v>299</v>
      </c>
      <c r="E51" s="19" t="s">
        <v>196</v>
      </c>
      <c r="G51" s="20" t="s">
        <v>808</v>
      </c>
    </row>
    <row r="52" spans="1:13" x14ac:dyDescent="0.25">
      <c r="A52" s="4" t="s">
        <v>300</v>
      </c>
      <c r="E52" s="19" t="s">
        <v>197</v>
      </c>
      <c r="G52" s="4" t="s">
        <v>809</v>
      </c>
    </row>
    <row r="53" spans="1:13" x14ac:dyDescent="0.25">
      <c r="A53" s="4" t="s">
        <v>347</v>
      </c>
      <c r="E53" s="21"/>
      <c r="G53" s="4" t="s">
        <v>810</v>
      </c>
    </row>
    <row r="54" spans="1:13" x14ac:dyDescent="0.25">
      <c r="A54" s="4" t="s">
        <v>705</v>
      </c>
      <c r="E54" s="20" t="s">
        <v>291</v>
      </c>
      <c r="G54" s="4" t="s">
        <v>811</v>
      </c>
    </row>
    <row r="55" spans="1:13" x14ac:dyDescent="0.25">
      <c r="A55" s="4" t="s">
        <v>301</v>
      </c>
      <c r="E55" s="25" t="s">
        <v>198</v>
      </c>
    </row>
    <row r="56" spans="1:13" x14ac:dyDescent="0.25">
      <c r="A56" s="4" t="s">
        <v>302</v>
      </c>
      <c r="E56" s="25" t="s">
        <v>199</v>
      </c>
      <c r="L56" s="29"/>
    </row>
    <row r="57" spans="1:13" x14ac:dyDescent="0.25">
      <c r="E57" s="36"/>
      <c r="L57" s="1"/>
      <c r="M57" s="1"/>
    </row>
    <row r="58" spans="1:13" x14ac:dyDescent="0.25">
      <c r="A58" s="20" t="s">
        <v>16</v>
      </c>
      <c r="E58" s="239" t="s">
        <v>815</v>
      </c>
      <c r="L58" s="1"/>
      <c r="M58" s="1"/>
    </row>
    <row r="59" spans="1:13" x14ac:dyDescent="0.25">
      <c r="A59" s="4" t="s">
        <v>303</v>
      </c>
      <c r="E59" s="238" t="s">
        <v>816</v>
      </c>
      <c r="L59" s="30"/>
      <c r="M59" s="30"/>
    </row>
    <row r="60" spans="1:13" x14ac:dyDescent="0.25">
      <c r="E60" s="238" t="s">
        <v>817</v>
      </c>
      <c r="L60" s="1"/>
      <c r="M60" s="1"/>
    </row>
    <row r="61" spans="1:13" x14ac:dyDescent="0.25">
      <c r="A61" s="20" t="s">
        <v>20</v>
      </c>
      <c r="E61" s="238" t="s">
        <v>818</v>
      </c>
      <c r="L61" s="1"/>
      <c r="M61" s="1"/>
    </row>
    <row r="62" spans="1:13" x14ac:dyDescent="0.25">
      <c r="A62" s="16" t="s">
        <v>304</v>
      </c>
      <c r="E62" s="238" t="s">
        <v>819</v>
      </c>
      <c r="L62" s="29"/>
      <c r="M62" s="29"/>
    </row>
    <row r="63" spans="1:13" x14ac:dyDescent="0.25">
      <c r="A63" s="16" t="s">
        <v>305</v>
      </c>
      <c r="E63" s="238" t="s">
        <v>820</v>
      </c>
      <c r="L63" s="1"/>
      <c r="M63" s="1"/>
    </row>
    <row r="64" spans="1:13" x14ac:dyDescent="0.25">
      <c r="A64" s="16" t="s">
        <v>306</v>
      </c>
      <c r="E64" s="238" t="s">
        <v>821</v>
      </c>
      <c r="L64" s="1"/>
      <c r="M64" s="1"/>
    </row>
    <row r="65" spans="1:13" x14ac:dyDescent="0.25">
      <c r="A65" s="16" t="s">
        <v>307</v>
      </c>
      <c r="L65" s="29"/>
      <c r="M65" s="29"/>
    </row>
    <row r="66" spans="1:13" x14ac:dyDescent="0.25">
      <c r="A66" s="16" t="s">
        <v>308</v>
      </c>
      <c r="L66" s="1"/>
      <c r="M66" s="1"/>
    </row>
    <row r="67" spans="1:13" x14ac:dyDescent="0.25">
      <c r="A67" s="16" t="s">
        <v>354</v>
      </c>
      <c r="L67" s="1"/>
      <c r="M67" s="1"/>
    </row>
    <row r="68" spans="1:13" x14ac:dyDescent="0.25">
      <c r="L68" s="29"/>
      <c r="M68" s="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V163"/>
  <sheetViews>
    <sheetView topLeftCell="A25" zoomScale="80" zoomScaleNormal="80" workbookViewId="0">
      <pane xSplit="1" topLeftCell="B1" activePane="topRight" state="frozen"/>
      <selection pane="topRight" activeCell="AI47" sqref="AI47"/>
    </sheetView>
  </sheetViews>
  <sheetFormatPr defaultRowHeight="15" x14ac:dyDescent="0.25"/>
  <cols>
    <col min="1" max="1" width="97" style="10" customWidth="1"/>
    <col min="2" max="2" width="20.7109375" style="10" customWidth="1"/>
    <col min="3" max="3" width="46.140625" style="41" customWidth="1"/>
    <col min="4" max="4" width="59.42578125" style="41" customWidth="1"/>
    <col min="5" max="5" width="23.7109375" style="10" customWidth="1"/>
    <col min="6" max="6" width="15.42578125" style="254" customWidth="1"/>
    <col min="7" max="7" width="15.42578125" style="10" customWidth="1"/>
    <col min="8" max="8" width="27" style="10" customWidth="1"/>
    <col min="9" max="9" width="13.5703125" style="46" customWidth="1"/>
    <col min="10" max="10" width="17.140625" style="46" customWidth="1"/>
    <col min="11" max="11" width="13.85546875" style="46" customWidth="1"/>
    <col min="12" max="12" width="11.85546875" style="46" customWidth="1"/>
    <col min="13" max="13" width="13.140625" style="46" customWidth="1"/>
    <col min="14" max="14" width="16.28515625" style="46" customWidth="1"/>
    <col min="15" max="15" width="18.5703125" style="46" customWidth="1"/>
    <col min="16" max="17" width="12" style="46" customWidth="1"/>
    <col min="18" max="18" width="12.42578125" style="46" customWidth="1"/>
    <col min="19" max="19" width="13.7109375" style="46" customWidth="1"/>
    <col min="20" max="20" width="17" style="46" customWidth="1"/>
    <col min="21" max="21" width="12" style="46" customWidth="1"/>
    <col min="22" max="22" width="12.28515625" style="46" customWidth="1"/>
    <col min="23" max="23" width="12.42578125" style="46" customWidth="1"/>
    <col min="24" max="27" width="9.140625" style="2"/>
    <col min="30" max="30" width="9.140625" style="2"/>
    <col min="31" max="31" width="10.7109375" style="2" customWidth="1"/>
    <col min="32" max="32" width="9.140625" style="2" customWidth="1"/>
    <col min="33" max="33" width="10.7109375" style="2" customWidth="1"/>
    <col min="34" max="34" width="10.85546875" style="2" customWidth="1"/>
    <col min="35" max="37" width="9.140625" style="2" customWidth="1"/>
    <col min="38" max="39" width="10.7109375" style="2" customWidth="1"/>
    <col min="40" max="43" width="9.140625" style="2" customWidth="1"/>
  </cols>
  <sheetData>
    <row r="1" spans="1:44" s="6" customFormat="1" x14ac:dyDescent="0.25">
      <c r="A1" s="97">
        <v>1</v>
      </c>
      <c r="B1" s="10">
        <v>2</v>
      </c>
      <c r="C1" s="92">
        <v>3</v>
      </c>
      <c r="D1" s="92">
        <v>4</v>
      </c>
      <c r="E1" s="10">
        <v>5</v>
      </c>
      <c r="F1" s="254">
        <v>6</v>
      </c>
      <c r="G1" s="10">
        <v>7</v>
      </c>
      <c r="H1" s="10">
        <v>8</v>
      </c>
      <c r="I1" s="46">
        <v>9</v>
      </c>
      <c r="J1" s="46">
        <v>10</v>
      </c>
      <c r="K1" s="46">
        <v>11</v>
      </c>
      <c r="L1" s="46">
        <v>12</v>
      </c>
      <c r="M1" s="46">
        <v>13</v>
      </c>
      <c r="N1" s="46">
        <v>14</v>
      </c>
      <c r="O1" s="46">
        <v>15</v>
      </c>
      <c r="P1" s="46">
        <v>16</v>
      </c>
      <c r="Q1" s="46">
        <v>17</v>
      </c>
      <c r="R1" s="46">
        <v>18</v>
      </c>
      <c r="S1" s="46">
        <v>19</v>
      </c>
      <c r="T1" s="46">
        <v>20</v>
      </c>
      <c r="U1" s="46">
        <v>21</v>
      </c>
      <c r="V1" s="46">
        <v>22</v>
      </c>
      <c r="W1" s="46">
        <v>23</v>
      </c>
      <c r="X1" s="97">
        <v>24</v>
      </c>
      <c r="Y1" s="97">
        <v>25</v>
      </c>
      <c r="Z1" s="97">
        <v>26</v>
      </c>
      <c r="AA1" s="97">
        <v>27</v>
      </c>
      <c r="AB1" s="105">
        <v>28</v>
      </c>
      <c r="AC1" s="105">
        <v>29</v>
      </c>
      <c r="AD1" s="97">
        <v>30</v>
      </c>
      <c r="AE1" s="97">
        <v>31</v>
      </c>
      <c r="AF1" s="97">
        <v>32</v>
      </c>
      <c r="AG1" s="97">
        <v>33</v>
      </c>
      <c r="AH1" s="97">
        <v>34</v>
      </c>
      <c r="AI1" s="97">
        <v>35</v>
      </c>
      <c r="AJ1" s="97">
        <v>36</v>
      </c>
      <c r="AK1" s="97">
        <v>37</v>
      </c>
      <c r="AL1" s="97">
        <v>38</v>
      </c>
      <c r="AM1" s="97">
        <v>39</v>
      </c>
      <c r="AN1" s="97">
        <v>40</v>
      </c>
      <c r="AO1" s="97">
        <v>41</v>
      </c>
      <c r="AP1" s="97">
        <v>42</v>
      </c>
      <c r="AQ1" s="97">
        <v>43</v>
      </c>
    </row>
    <row r="2" spans="1:44" s="6" customFormat="1" ht="59.25" customHeight="1" x14ac:dyDescent="0.25">
      <c r="A2" s="97"/>
      <c r="B2" s="10"/>
      <c r="C2" s="41"/>
      <c r="D2" s="10" t="s">
        <v>703</v>
      </c>
      <c r="E2" s="90"/>
      <c r="F2" s="254" t="s">
        <v>704</v>
      </c>
      <c r="G2" s="44"/>
      <c r="H2" s="10" t="s">
        <v>357</v>
      </c>
      <c r="I2" s="45"/>
      <c r="J2" s="46"/>
      <c r="K2" s="46"/>
      <c r="L2" s="93"/>
      <c r="M2" s="93"/>
      <c r="N2" s="46"/>
      <c r="O2" s="46"/>
      <c r="P2" s="46"/>
      <c r="Q2" s="46"/>
      <c r="R2" s="46"/>
      <c r="S2" s="46"/>
      <c r="T2" s="46"/>
      <c r="U2" s="46"/>
      <c r="V2" s="46"/>
      <c r="W2" s="46"/>
      <c r="X2" s="298" t="s">
        <v>711</v>
      </c>
      <c r="Y2" s="298"/>
      <c r="Z2" s="98">
        <v>0.66666666665999996</v>
      </c>
      <c r="AA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1:44" ht="26.1" customHeight="1" thickBot="1" x14ac:dyDescent="0.3">
      <c r="A3" s="99"/>
      <c r="B3" s="2"/>
      <c r="C3" s="43"/>
      <c r="D3" s="43"/>
      <c r="E3" s="2"/>
      <c r="F3" s="255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 s="299" t="s">
        <v>14</v>
      </c>
      <c r="Y3" s="299" t="s">
        <v>709</v>
      </c>
      <c r="Z3" s="299" t="s">
        <v>710</v>
      </c>
      <c r="AA3" s="287" t="s">
        <v>2</v>
      </c>
      <c r="AB3" s="287" t="s">
        <v>717</v>
      </c>
      <c r="AC3" s="287" t="s">
        <v>718</v>
      </c>
      <c r="AD3" s="287" t="s">
        <v>716</v>
      </c>
      <c r="AE3" s="287" t="s">
        <v>715</v>
      </c>
      <c r="AF3" s="287" t="s">
        <v>45</v>
      </c>
      <c r="AG3" s="287" t="s">
        <v>48</v>
      </c>
      <c r="AH3" s="287" t="s">
        <v>46</v>
      </c>
      <c r="AI3" s="287" t="s">
        <v>3</v>
      </c>
      <c r="AJ3" s="287" t="s">
        <v>4</v>
      </c>
      <c r="AK3" s="287" t="s">
        <v>47</v>
      </c>
      <c r="AL3" s="287" t="s">
        <v>43</v>
      </c>
      <c r="AM3" s="299" t="s">
        <v>44</v>
      </c>
      <c r="AN3" s="287" t="s">
        <v>5</v>
      </c>
      <c r="AO3" s="287" t="s">
        <v>712</v>
      </c>
      <c r="AP3" s="287" t="s">
        <v>715</v>
      </c>
      <c r="AQ3" s="287" t="s">
        <v>26</v>
      </c>
      <c r="AR3" s="287" t="s">
        <v>716</v>
      </c>
    </row>
    <row r="4" spans="1:44" ht="26.1" customHeight="1" thickBot="1" x14ac:dyDescent="0.3">
      <c r="A4" s="100"/>
      <c r="B4" s="288" t="s">
        <v>155</v>
      </c>
      <c r="C4" s="290" t="s">
        <v>355</v>
      </c>
      <c r="D4" s="290" t="s">
        <v>12</v>
      </c>
      <c r="E4" s="292" t="s">
        <v>0</v>
      </c>
      <c r="F4" s="294" t="s">
        <v>54</v>
      </c>
      <c r="G4" s="290" t="s">
        <v>54</v>
      </c>
      <c r="H4" s="290" t="s">
        <v>358</v>
      </c>
      <c r="I4" s="296" t="s">
        <v>359</v>
      </c>
      <c r="J4" s="297"/>
      <c r="K4" s="297"/>
      <c r="L4" s="297"/>
      <c r="M4" s="297"/>
      <c r="N4" s="296" t="s">
        <v>360</v>
      </c>
      <c r="O4" s="297"/>
      <c r="P4" s="297"/>
      <c r="Q4" s="297"/>
      <c r="R4" s="297"/>
      <c r="S4" s="296" t="s">
        <v>361</v>
      </c>
      <c r="T4" s="297"/>
      <c r="U4" s="297"/>
      <c r="V4" s="297"/>
      <c r="W4" s="297"/>
      <c r="X4" s="299"/>
      <c r="Y4" s="299"/>
      <c r="Z4" s="299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99"/>
      <c r="AN4" s="287"/>
      <c r="AO4" s="287"/>
      <c r="AP4" s="287"/>
      <c r="AQ4" s="287"/>
      <c r="AR4" s="287"/>
    </row>
    <row r="5" spans="1:44" ht="26.1" customHeight="1" thickBot="1" x14ac:dyDescent="0.3">
      <c r="A5" s="42"/>
      <c r="B5" s="289"/>
      <c r="C5" s="289"/>
      <c r="D5" s="289"/>
      <c r="E5" s="293"/>
      <c r="F5" s="295"/>
      <c r="G5" s="291"/>
      <c r="H5" s="289"/>
      <c r="I5" s="47" t="s">
        <v>362</v>
      </c>
      <c r="J5" s="47" t="s">
        <v>363</v>
      </c>
      <c r="K5" s="47" t="s">
        <v>364</v>
      </c>
      <c r="L5" s="47" t="s">
        <v>365</v>
      </c>
      <c r="M5" s="47" t="s">
        <v>366</v>
      </c>
      <c r="N5" s="47" t="s">
        <v>362</v>
      </c>
      <c r="O5" s="47" t="s">
        <v>363</v>
      </c>
      <c r="P5" s="47" t="s">
        <v>364</v>
      </c>
      <c r="Q5" s="47" t="s">
        <v>365</v>
      </c>
      <c r="R5" s="47" t="s">
        <v>366</v>
      </c>
      <c r="S5" s="47" t="s">
        <v>362</v>
      </c>
      <c r="T5" s="47" t="s">
        <v>363</v>
      </c>
      <c r="U5" s="47" t="s">
        <v>364</v>
      </c>
      <c r="V5" s="47" t="s">
        <v>365</v>
      </c>
      <c r="W5" s="47" t="s">
        <v>366</v>
      </c>
      <c r="X5" s="299"/>
      <c r="Y5" s="299"/>
      <c r="Z5" s="299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99"/>
      <c r="AN5" s="287"/>
      <c r="AO5" s="287"/>
      <c r="AP5" s="287"/>
      <c r="AQ5" s="287"/>
      <c r="AR5" s="287"/>
    </row>
    <row r="6" spans="1:44" ht="15.75" customHeight="1" thickBot="1" x14ac:dyDescent="0.3">
      <c r="A6" s="259" t="str">
        <f>B6&amp;" "&amp;C6&amp;" "&amp;D6</f>
        <v>Tractors Two_Wheel_Drive 100-119 hp</v>
      </c>
      <c r="B6" s="260" t="s">
        <v>6</v>
      </c>
      <c r="C6" s="261" t="s">
        <v>283</v>
      </c>
      <c r="D6" s="261" t="s">
        <v>7</v>
      </c>
      <c r="E6" s="262" t="s">
        <v>7</v>
      </c>
      <c r="F6" s="256">
        <v>118000</v>
      </c>
      <c r="G6" s="48">
        <f>ROUND(F6/5000,0)*5000</f>
        <v>120000</v>
      </c>
      <c r="H6" s="49"/>
      <c r="I6" s="50" t="s">
        <v>13</v>
      </c>
      <c r="J6" s="50" t="s">
        <v>367</v>
      </c>
      <c r="K6" s="51"/>
      <c r="L6" s="51"/>
      <c r="M6" s="51"/>
      <c r="N6" s="50" t="s">
        <v>368</v>
      </c>
      <c r="O6" s="50" t="s">
        <v>369</v>
      </c>
      <c r="P6" s="51"/>
      <c r="Q6" s="51"/>
      <c r="R6" s="51"/>
      <c r="S6" s="50" t="s">
        <v>13</v>
      </c>
      <c r="T6" s="50" t="s">
        <v>370</v>
      </c>
      <c r="U6" s="51"/>
      <c r="V6" s="51"/>
      <c r="W6" s="49"/>
      <c r="X6" s="8">
        <v>20</v>
      </c>
      <c r="Y6" s="8">
        <v>300</v>
      </c>
      <c r="Z6" s="9">
        <v>2.2000000000000002</v>
      </c>
      <c r="AA6" s="8">
        <v>24</v>
      </c>
      <c r="AD6" s="8"/>
      <c r="AE6" s="8"/>
      <c r="AF6" s="95">
        <f t="shared" ref="AF6:AF36" si="0">(F6*Fraction_dep_over_optimal_life/X6/Y6)+IF(Machinery_Financed_percentage=0,0,(-CUMIPMT(Interest_Rate/2,Payback_loan_period_years*2,F6*Machinery_Financed_percentage,1,Payback_loan_period_years*2,0)/X6/Y6))+((F6*(1-Machinery_Financed_percentage)*(1+Opportunity_Rate/12)^(Opp_inv_period_years*12)-(F6*(1-Machinery_Financed_percentage)))/X6/Y6)+(Insurance_and_Housing*F6/Y6)</f>
        <v>20.501705937919812</v>
      </c>
      <c r="AG6" s="95">
        <f>Z6/100*F6/Y6</f>
        <v>8.6533333333333342</v>
      </c>
      <c r="AH6" s="95">
        <f t="shared" ref="AH6:AH37" si="1">Margin_percentage*(AF6+AG6)</f>
        <v>4.3732558906879717</v>
      </c>
      <c r="AI6" s="95">
        <f>AF6+AG6+AH6</f>
        <v>33.528295161941116</v>
      </c>
      <c r="AJ6" s="7">
        <f t="shared" ref="AJ6:AJ24" si="2">AA6*Fuel_Price</f>
        <v>30.432000000000002</v>
      </c>
      <c r="AK6" s="7">
        <f t="shared" ref="AK6:AK24" si="3">Labour</f>
        <v>27</v>
      </c>
      <c r="AL6" s="7">
        <f t="shared" ref="AL6:AL24" si="4">Margin_percentage*(AJ6+AK6)</f>
        <v>8.6148000000000007</v>
      </c>
      <c r="AM6" s="7"/>
      <c r="AN6" s="95">
        <f t="shared" ref="AN6:AN24" si="5">AI6+AJ6+AK6+AL6</f>
        <v>99.575095161941121</v>
      </c>
      <c r="AP6" s="8" t="s">
        <v>724</v>
      </c>
    </row>
    <row r="7" spans="1:44" ht="15.75" customHeight="1" thickBot="1" x14ac:dyDescent="0.3">
      <c r="A7" s="259" t="str">
        <f t="shared" ref="A7:A75" si="6">B7&amp;" "&amp;C7&amp;" "&amp;D7</f>
        <v>Tractors Two_Wheel_Drive 120+ hp</v>
      </c>
      <c r="B7" s="260" t="s">
        <v>6</v>
      </c>
      <c r="C7" s="261" t="s">
        <v>283</v>
      </c>
      <c r="D7" s="261" t="s">
        <v>21</v>
      </c>
      <c r="E7" s="263" t="s">
        <v>21</v>
      </c>
      <c r="F7" s="256">
        <v>155400</v>
      </c>
      <c r="G7" s="48">
        <f t="shared" ref="G7:G24" si="7">ROUND(F7/5000,0)*5000</f>
        <v>155000</v>
      </c>
      <c r="H7" s="52"/>
      <c r="I7" s="53" t="s">
        <v>13</v>
      </c>
      <c r="J7" s="53" t="s">
        <v>371</v>
      </c>
      <c r="K7" s="54"/>
      <c r="L7" s="54"/>
      <c r="M7" s="54"/>
      <c r="N7" s="53" t="s">
        <v>368</v>
      </c>
      <c r="O7" s="53" t="s">
        <v>372</v>
      </c>
      <c r="P7" s="54"/>
      <c r="Q7" s="54"/>
      <c r="R7" s="54"/>
      <c r="S7" s="53" t="s">
        <v>13</v>
      </c>
      <c r="T7" s="53" t="s">
        <v>373</v>
      </c>
      <c r="U7" s="54"/>
      <c r="V7" s="54"/>
      <c r="W7" s="52"/>
      <c r="X7" s="8">
        <v>20</v>
      </c>
      <c r="Y7" s="8">
        <v>300</v>
      </c>
      <c r="Z7" s="9">
        <v>2.2000000000000002</v>
      </c>
      <c r="AA7" s="8">
        <v>28</v>
      </c>
      <c r="AD7" s="8"/>
      <c r="AE7" s="8"/>
      <c r="AF7" s="95">
        <f t="shared" si="0"/>
        <v>26.999704260616429</v>
      </c>
      <c r="AG7" s="95">
        <f t="shared" ref="AG7:AG73" si="8">Z7/100*F7/Y7</f>
        <v>11.396000000000001</v>
      </c>
      <c r="AH7" s="95">
        <f t="shared" si="1"/>
        <v>5.7593556390924636</v>
      </c>
      <c r="AI7" s="95">
        <f t="shared" ref="AI7:AI9" si="9">AF7+AG7+AH7</f>
        <v>44.155059899708888</v>
      </c>
      <c r="AJ7" s="7">
        <f t="shared" si="2"/>
        <v>35.503999999999998</v>
      </c>
      <c r="AK7" s="7">
        <f t="shared" si="3"/>
        <v>27</v>
      </c>
      <c r="AL7" s="7">
        <f t="shared" si="4"/>
        <v>9.3755999999999986</v>
      </c>
      <c r="AM7" s="7"/>
      <c r="AN7" s="95">
        <f t="shared" si="5"/>
        <v>116.03465989970888</v>
      </c>
      <c r="AP7" s="8" t="s">
        <v>724</v>
      </c>
    </row>
    <row r="8" spans="1:44" ht="15.75" customHeight="1" thickBot="1" x14ac:dyDescent="0.3">
      <c r="A8" s="259" t="str">
        <f t="shared" si="6"/>
        <v>Tractors Front_Wheel_Assist Small (100-159 hp)</v>
      </c>
      <c r="B8" s="260" t="s">
        <v>6</v>
      </c>
      <c r="C8" s="261" t="s">
        <v>285</v>
      </c>
      <c r="D8" s="261" t="s">
        <v>156</v>
      </c>
      <c r="E8" s="262" t="s">
        <v>23</v>
      </c>
      <c r="F8" s="256">
        <v>235200</v>
      </c>
      <c r="G8" s="48">
        <f t="shared" si="7"/>
        <v>235000</v>
      </c>
      <c r="H8" s="49"/>
      <c r="I8" s="50" t="s">
        <v>13</v>
      </c>
      <c r="J8" s="50" t="s">
        <v>374</v>
      </c>
      <c r="K8" s="51"/>
      <c r="L8" s="51"/>
      <c r="M8" s="51"/>
      <c r="N8" s="50" t="s">
        <v>368</v>
      </c>
      <c r="O8" s="50" t="s">
        <v>375</v>
      </c>
      <c r="P8" s="51"/>
      <c r="Q8" s="51"/>
      <c r="R8" s="51"/>
      <c r="S8" s="50" t="s">
        <v>376</v>
      </c>
      <c r="T8" s="50" t="s">
        <v>377</v>
      </c>
      <c r="U8" s="51"/>
      <c r="V8" s="51"/>
      <c r="W8" s="49"/>
      <c r="X8" s="8">
        <v>15</v>
      </c>
      <c r="Y8" s="8">
        <v>450</v>
      </c>
      <c r="Z8" s="9">
        <v>2.6</v>
      </c>
      <c r="AA8" s="8">
        <v>26</v>
      </c>
      <c r="AF8" s="95">
        <f t="shared" si="0"/>
        <v>34.581704230498985</v>
      </c>
      <c r="AG8" s="95">
        <f t="shared" si="8"/>
        <v>13.589333333333334</v>
      </c>
      <c r="AH8" s="95">
        <f t="shared" si="1"/>
        <v>7.2256556345748475</v>
      </c>
      <c r="AI8" s="95">
        <f t="shared" si="9"/>
        <v>55.396693198407171</v>
      </c>
      <c r="AJ8" s="7">
        <f t="shared" si="2"/>
        <v>32.968000000000004</v>
      </c>
      <c r="AK8" s="7">
        <f t="shared" si="3"/>
        <v>27</v>
      </c>
      <c r="AL8" s="7">
        <f t="shared" si="4"/>
        <v>8.9952000000000005</v>
      </c>
      <c r="AM8" s="7"/>
      <c r="AN8" s="95">
        <f t="shared" si="5"/>
        <v>124.35989319840716</v>
      </c>
      <c r="AP8" s="8" t="s">
        <v>724</v>
      </c>
    </row>
    <row r="9" spans="1:44" ht="15.75" customHeight="1" thickBot="1" x14ac:dyDescent="0.3">
      <c r="A9" s="259" t="str">
        <f t="shared" si="6"/>
        <v>Tractors Front_Wheel_Assist Medium (160-224 hp)</v>
      </c>
      <c r="B9" s="260" t="s">
        <v>6</v>
      </c>
      <c r="C9" s="261" t="s">
        <v>285</v>
      </c>
      <c r="D9" s="261" t="s">
        <v>157</v>
      </c>
      <c r="E9" s="264" t="s">
        <v>40</v>
      </c>
      <c r="F9" s="256">
        <v>304000</v>
      </c>
      <c r="G9" s="48">
        <f t="shared" si="7"/>
        <v>305000</v>
      </c>
      <c r="H9" s="55"/>
      <c r="I9" s="56" t="s">
        <v>13</v>
      </c>
      <c r="J9" s="56" t="s">
        <v>378</v>
      </c>
      <c r="K9" s="57"/>
      <c r="L9" s="57"/>
      <c r="M9" s="57"/>
      <c r="N9" s="56" t="s">
        <v>368</v>
      </c>
      <c r="O9" s="56" t="s">
        <v>379</v>
      </c>
      <c r="P9" s="57"/>
      <c r="Q9" s="57"/>
      <c r="R9" s="57"/>
      <c r="S9" s="56" t="s">
        <v>376</v>
      </c>
      <c r="T9" s="56" t="s">
        <v>380</v>
      </c>
      <c r="U9" s="57"/>
      <c r="V9" s="57"/>
      <c r="W9" s="55"/>
      <c r="X9" s="8">
        <v>15</v>
      </c>
      <c r="Y9" s="8">
        <v>450</v>
      </c>
      <c r="Z9" s="9">
        <v>2.6</v>
      </c>
      <c r="AA9" s="8">
        <v>36</v>
      </c>
      <c r="AF9" s="95">
        <f t="shared" si="0"/>
        <v>44.697440842141532</v>
      </c>
      <c r="AG9" s="95">
        <f t="shared" si="8"/>
        <v>17.564444444444447</v>
      </c>
      <c r="AH9" s="95">
        <f t="shared" si="1"/>
        <v>9.3392827929878965</v>
      </c>
      <c r="AI9" s="95">
        <f t="shared" si="9"/>
        <v>71.601168079573881</v>
      </c>
      <c r="AJ9" s="7">
        <f t="shared" si="2"/>
        <v>45.648000000000003</v>
      </c>
      <c r="AK9" s="7">
        <f t="shared" si="3"/>
        <v>27</v>
      </c>
      <c r="AL9" s="7">
        <f t="shared" si="4"/>
        <v>10.8972</v>
      </c>
      <c r="AM9" s="7"/>
      <c r="AN9" s="95">
        <f t="shared" si="5"/>
        <v>155.14636807957388</v>
      </c>
      <c r="AP9" s="8" t="s">
        <v>724</v>
      </c>
    </row>
    <row r="10" spans="1:44" ht="15.75" customHeight="1" thickBot="1" x14ac:dyDescent="0.3">
      <c r="A10" s="259" t="str">
        <f t="shared" si="6"/>
        <v>Tractors Front_Wheel_Assist Large (225+ hp)</v>
      </c>
      <c r="B10" s="260" t="s">
        <v>6</v>
      </c>
      <c r="C10" s="261" t="s">
        <v>285</v>
      </c>
      <c r="D10" s="261" t="s">
        <v>158</v>
      </c>
      <c r="E10" s="263" t="s">
        <v>24</v>
      </c>
      <c r="F10" s="256">
        <v>460100</v>
      </c>
      <c r="G10" s="48">
        <f t="shared" si="7"/>
        <v>460000</v>
      </c>
      <c r="H10" s="52"/>
      <c r="I10" s="53" t="s">
        <v>13</v>
      </c>
      <c r="J10" s="53" t="s">
        <v>381</v>
      </c>
      <c r="K10" s="54"/>
      <c r="L10" s="54"/>
      <c r="M10" s="54"/>
      <c r="N10" s="53" t="s">
        <v>368</v>
      </c>
      <c r="O10" s="53" t="s">
        <v>382</v>
      </c>
      <c r="P10" s="54"/>
      <c r="Q10" s="54"/>
      <c r="R10" s="54"/>
      <c r="S10" s="53" t="s">
        <v>376</v>
      </c>
      <c r="T10" s="53" t="s">
        <v>383</v>
      </c>
      <c r="U10" s="54"/>
      <c r="V10" s="54"/>
      <c r="W10" s="52"/>
      <c r="X10" s="8">
        <v>15</v>
      </c>
      <c r="Y10" s="8">
        <v>450</v>
      </c>
      <c r="Z10" s="9">
        <v>2.6</v>
      </c>
      <c r="AA10" s="8">
        <v>48</v>
      </c>
      <c r="AF10" s="95">
        <f t="shared" si="0"/>
        <v>67.648988590359608</v>
      </c>
      <c r="AG10" s="95">
        <f t="shared" si="8"/>
        <v>26.583555555555556</v>
      </c>
      <c r="AH10" s="95">
        <f t="shared" si="1"/>
        <v>14.134881621887276</v>
      </c>
      <c r="AI10" s="95">
        <f t="shared" ref="AI10" si="10">AF10+AG10+AH10</f>
        <v>108.36742576780244</v>
      </c>
      <c r="AJ10" s="7">
        <f t="shared" si="2"/>
        <v>60.864000000000004</v>
      </c>
      <c r="AK10" s="7">
        <f t="shared" si="3"/>
        <v>27</v>
      </c>
      <c r="AL10" s="7">
        <f t="shared" si="4"/>
        <v>13.179600000000001</v>
      </c>
      <c r="AM10" s="7"/>
      <c r="AN10" s="95">
        <f t="shared" si="5"/>
        <v>209.41102576780244</v>
      </c>
      <c r="AP10" s="8" t="s">
        <v>724</v>
      </c>
    </row>
    <row r="11" spans="1:44" ht="15.75" customHeight="1" thickBot="1" x14ac:dyDescent="0.3">
      <c r="A11" s="259" t="str">
        <f t="shared" si="6"/>
        <v>Tractors Four_Wheel_Drive Small (350-449 hp)</v>
      </c>
      <c r="B11" s="260" t="s">
        <v>6</v>
      </c>
      <c r="C11" s="261" t="s">
        <v>284</v>
      </c>
      <c r="D11" s="261" t="s">
        <v>159</v>
      </c>
      <c r="E11" s="262" t="s">
        <v>10</v>
      </c>
      <c r="F11" s="256">
        <v>497900</v>
      </c>
      <c r="G11" s="48">
        <f t="shared" si="7"/>
        <v>500000</v>
      </c>
      <c r="H11" s="49"/>
      <c r="I11" s="50" t="s">
        <v>13</v>
      </c>
      <c r="J11" s="50" t="s">
        <v>384</v>
      </c>
      <c r="K11" s="51"/>
      <c r="L11" s="51"/>
      <c r="M11" s="51"/>
      <c r="N11" s="50" t="s">
        <v>368</v>
      </c>
      <c r="O11" s="50" t="s">
        <v>385</v>
      </c>
      <c r="P11" s="51"/>
      <c r="Q11" s="51"/>
      <c r="R11" s="51"/>
      <c r="S11" s="50" t="s">
        <v>376</v>
      </c>
      <c r="T11" s="50" t="s">
        <v>386</v>
      </c>
      <c r="U11" s="51"/>
      <c r="V11" s="51"/>
      <c r="W11" s="49"/>
      <c r="X11" s="8">
        <v>15</v>
      </c>
      <c r="Y11" s="8">
        <v>450</v>
      </c>
      <c r="Z11" s="9">
        <v>2.5</v>
      </c>
      <c r="AA11" s="8">
        <v>63</v>
      </c>
      <c r="AF11" s="95">
        <f t="shared" si="0"/>
        <v>73.206762484546942</v>
      </c>
      <c r="AG11" s="95">
        <f t="shared" si="8"/>
        <v>27.661111111111111</v>
      </c>
      <c r="AH11" s="95">
        <f t="shared" si="1"/>
        <v>15.130181039348708</v>
      </c>
      <c r="AI11" s="95">
        <f t="shared" ref="AI11:AI12" si="11">AF11+AG11+AH11</f>
        <v>115.99805463500677</v>
      </c>
      <c r="AJ11" s="7">
        <f t="shared" si="2"/>
        <v>79.884</v>
      </c>
      <c r="AK11" s="7">
        <f t="shared" si="3"/>
        <v>27</v>
      </c>
      <c r="AL11" s="7">
        <f t="shared" si="4"/>
        <v>16.032599999999999</v>
      </c>
      <c r="AM11" s="7"/>
      <c r="AN11" s="95">
        <f t="shared" si="5"/>
        <v>238.91465463500677</v>
      </c>
      <c r="AP11" s="8" t="s">
        <v>724</v>
      </c>
    </row>
    <row r="12" spans="1:44" ht="15.75" customHeight="1" thickBot="1" x14ac:dyDescent="0.3">
      <c r="A12" s="259" t="str">
        <f t="shared" si="6"/>
        <v xml:space="preserve">Tractors Four_Wheel_Drive Medium (450-549 hp) </v>
      </c>
      <c r="B12" s="260" t="s">
        <v>6</v>
      </c>
      <c r="C12" s="261" t="s">
        <v>284</v>
      </c>
      <c r="D12" s="261" t="s">
        <v>160</v>
      </c>
      <c r="E12" s="264" t="s">
        <v>11</v>
      </c>
      <c r="F12" s="256">
        <v>580300</v>
      </c>
      <c r="G12" s="48">
        <f t="shared" si="7"/>
        <v>580000</v>
      </c>
      <c r="H12" s="55"/>
      <c r="I12" s="56" t="s">
        <v>13</v>
      </c>
      <c r="J12" s="56" t="s">
        <v>387</v>
      </c>
      <c r="K12" s="57"/>
      <c r="L12" s="57"/>
      <c r="M12" s="57"/>
      <c r="N12" s="56" t="s">
        <v>368</v>
      </c>
      <c r="O12" s="56" t="s">
        <v>388</v>
      </c>
      <c r="P12" s="57"/>
      <c r="Q12" s="57"/>
      <c r="R12" s="57"/>
      <c r="S12" s="56" t="s">
        <v>376</v>
      </c>
      <c r="T12" s="56" t="s">
        <v>389</v>
      </c>
      <c r="U12" s="57"/>
      <c r="V12" s="57"/>
      <c r="W12" s="55"/>
      <c r="X12" s="8">
        <v>15</v>
      </c>
      <c r="Y12" s="8">
        <v>450</v>
      </c>
      <c r="Z12" s="9">
        <v>2.5</v>
      </c>
      <c r="AA12" s="8">
        <v>76</v>
      </c>
      <c r="AF12" s="95">
        <f t="shared" si="0"/>
        <v>85.322121449653764</v>
      </c>
      <c r="AG12" s="95">
        <f t="shared" si="8"/>
        <v>32.238888888888887</v>
      </c>
      <c r="AH12" s="95">
        <f t="shared" si="1"/>
        <v>17.634151550781397</v>
      </c>
      <c r="AI12" s="95">
        <f t="shared" si="11"/>
        <v>135.19516188932403</v>
      </c>
      <c r="AJ12" s="7">
        <f t="shared" si="2"/>
        <v>96.367999999999995</v>
      </c>
      <c r="AK12" s="7">
        <f t="shared" si="3"/>
        <v>27</v>
      </c>
      <c r="AL12" s="7">
        <f t="shared" si="4"/>
        <v>18.505199999999999</v>
      </c>
      <c r="AM12" s="7"/>
      <c r="AN12" s="95">
        <f t="shared" si="5"/>
        <v>277.06836188932402</v>
      </c>
      <c r="AP12" s="8" t="s">
        <v>724</v>
      </c>
    </row>
    <row r="13" spans="1:44" ht="15.75" customHeight="1" thickBot="1" x14ac:dyDescent="0.3">
      <c r="A13" s="259" t="str">
        <f t="shared" si="6"/>
        <v>Tractors Four_Wheel_Drive Large (550+ hp)</v>
      </c>
      <c r="B13" s="260" t="s">
        <v>6</v>
      </c>
      <c r="C13" s="261" t="s">
        <v>284</v>
      </c>
      <c r="D13" s="261" t="s">
        <v>161</v>
      </c>
      <c r="E13" s="263" t="s">
        <v>22</v>
      </c>
      <c r="F13" s="256">
        <v>664700</v>
      </c>
      <c r="G13" s="48">
        <f t="shared" si="7"/>
        <v>665000</v>
      </c>
      <c r="H13" s="52"/>
      <c r="I13" s="53" t="s">
        <v>13</v>
      </c>
      <c r="J13" s="53" t="s">
        <v>390</v>
      </c>
      <c r="K13" s="54"/>
      <c r="L13" s="54"/>
      <c r="M13" s="54"/>
      <c r="N13" s="53" t="s">
        <v>368</v>
      </c>
      <c r="O13" s="53" t="s">
        <v>391</v>
      </c>
      <c r="P13" s="54"/>
      <c r="Q13" s="54"/>
      <c r="R13" s="54"/>
      <c r="S13" s="53" t="s">
        <v>376</v>
      </c>
      <c r="T13" s="53" t="s">
        <v>392</v>
      </c>
      <c r="U13" s="54"/>
      <c r="V13" s="54"/>
      <c r="W13" s="52"/>
      <c r="X13" s="8">
        <v>15</v>
      </c>
      <c r="Y13" s="8">
        <v>450</v>
      </c>
      <c r="Z13" s="9">
        <v>2.5</v>
      </c>
      <c r="AA13" s="8">
        <v>88</v>
      </c>
      <c r="AF13" s="95">
        <f t="shared" si="0"/>
        <v>97.731542525564095</v>
      </c>
      <c r="AG13" s="95">
        <f t="shared" si="8"/>
        <v>36.927777777777777</v>
      </c>
      <c r="AH13" s="95">
        <f t="shared" si="1"/>
        <v>20.198898045501281</v>
      </c>
      <c r="AI13" s="95">
        <f t="shared" ref="AI13" si="12">AF13+AG13+AH13</f>
        <v>154.85821834884314</v>
      </c>
      <c r="AJ13" s="7">
        <f t="shared" si="2"/>
        <v>111.584</v>
      </c>
      <c r="AK13" s="7">
        <f t="shared" si="3"/>
        <v>27</v>
      </c>
      <c r="AL13" s="7">
        <f t="shared" si="4"/>
        <v>20.787600000000001</v>
      </c>
      <c r="AM13" s="7"/>
      <c r="AN13" s="95">
        <f t="shared" si="5"/>
        <v>314.22981834884314</v>
      </c>
      <c r="AP13" s="8" t="s">
        <v>724</v>
      </c>
    </row>
    <row r="14" spans="1:44" ht="15.75" customHeight="1" thickBot="1" x14ac:dyDescent="0.3">
      <c r="A14" s="259" t="str">
        <f t="shared" si="6"/>
        <v>Tractors Tracked 300-359 hp</v>
      </c>
      <c r="B14" s="260" t="s">
        <v>6</v>
      </c>
      <c r="C14" s="261" t="s">
        <v>15</v>
      </c>
      <c r="D14" s="261" t="s">
        <v>28</v>
      </c>
      <c r="E14" s="262" t="s">
        <v>28</v>
      </c>
      <c r="F14" s="256">
        <v>537100</v>
      </c>
      <c r="G14" s="48">
        <f t="shared" si="7"/>
        <v>535000</v>
      </c>
      <c r="H14" s="49"/>
      <c r="I14" s="50" t="s">
        <v>13</v>
      </c>
      <c r="J14" s="50" t="s">
        <v>393</v>
      </c>
      <c r="K14" s="51"/>
      <c r="L14" s="51"/>
      <c r="M14" s="51"/>
      <c r="N14" s="50" t="s">
        <v>368</v>
      </c>
      <c r="O14" s="50" t="s">
        <v>394</v>
      </c>
      <c r="P14" s="51"/>
      <c r="Q14" s="51"/>
      <c r="R14" s="51"/>
      <c r="S14" s="50" t="s">
        <v>13</v>
      </c>
      <c r="T14" s="50" t="s">
        <v>395</v>
      </c>
      <c r="U14" s="51"/>
      <c r="V14" s="51"/>
      <c r="W14" s="49"/>
      <c r="X14" s="8">
        <v>15</v>
      </c>
      <c r="Y14" s="8">
        <v>450</v>
      </c>
      <c r="Z14" s="9">
        <v>3.2</v>
      </c>
      <c r="AA14" s="8">
        <v>48</v>
      </c>
      <c r="AF14" s="95">
        <f t="shared" si="0"/>
        <v>78.970379856296788</v>
      </c>
      <c r="AG14" s="95">
        <f t="shared" si="8"/>
        <v>38.193777777777782</v>
      </c>
      <c r="AH14" s="95">
        <f t="shared" si="1"/>
        <v>17.574623645111185</v>
      </c>
      <c r="AI14" s="95">
        <f t="shared" ref="AI14" si="13">AF14+AG14+AH14</f>
        <v>134.73878127918576</v>
      </c>
      <c r="AJ14" s="7">
        <f t="shared" si="2"/>
        <v>60.864000000000004</v>
      </c>
      <c r="AK14" s="7">
        <f t="shared" si="3"/>
        <v>27</v>
      </c>
      <c r="AL14" s="7">
        <f t="shared" si="4"/>
        <v>13.179600000000001</v>
      </c>
      <c r="AM14" s="7"/>
      <c r="AN14" s="95">
        <f t="shared" si="5"/>
        <v>235.78238127918576</v>
      </c>
      <c r="AP14" s="8" t="s">
        <v>724</v>
      </c>
    </row>
    <row r="15" spans="1:44" ht="15.75" customHeight="1" thickBot="1" x14ac:dyDescent="0.3">
      <c r="A15" s="259" t="str">
        <f t="shared" si="6"/>
        <v>Tractors Tracked 360-449 hp</v>
      </c>
      <c r="B15" s="260" t="s">
        <v>6</v>
      </c>
      <c r="C15" s="261" t="s">
        <v>15</v>
      </c>
      <c r="D15" s="261" t="s">
        <v>29</v>
      </c>
      <c r="E15" s="264" t="s">
        <v>29</v>
      </c>
      <c r="F15" s="256">
        <v>621600</v>
      </c>
      <c r="G15" s="48">
        <f t="shared" si="7"/>
        <v>620000</v>
      </c>
      <c r="H15" s="55"/>
      <c r="I15" s="56" t="s">
        <v>13</v>
      </c>
      <c r="J15" s="56" t="s">
        <v>396</v>
      </c>
      <c r="K15" s="57"/>
      <c r="L15" s="57"/>
      <c r="M15" s="57"/>
      <c r="N15" s="56" t="s">
        <v>368</v>
      </c>
      <c r="O15" s="56" t="s">
        <v>397</v>
      </c>
      <c r="P15" s="57"/>
      <c r="Q15" s="57"/>
      <c r="R15" s="57"/>
      <c r="S15" s="56" t="s">
        <v>376</v>
      </c>
      <c r="T15" s="56" t="s">
        <v>398</v>
      </c>
      <c r="U15" s="57"/>
      <c r="V15" s="57"/>
      <c r="W15" s="55"/>
      <c r="X15" s="8">
        <v>15</v>
      </c>
      <c r="Y15" s="8">
        <v>450</v>
      </c>
      <c r="Z15" s="9">
        <v>3.2</v>
      </c>
      <c r="AA15" s="8">
        <v>77</v>
      </c>
      <c r="AF15" s="95">
        <f t="shared" si="0"/>
        <v>91.394504037747296</v>
      </c>
      <c r="AG15" s="95">
        <f t="shared" si="8"/>
        <v>44.202666666666666</v>
      </c>
      <c r="AH15" s="95">
        <f t="shared" si="1"/>
        <v>20.339575605662095</v>
      </c>
      <c r="AI15" s="95">
        <f t="shared" ref="AI15:AI18" si="14">AF15+AG15+AH15</f>
        <v>155.93674631007607</v>
      </c>
      <c r="AJ15" s="7">
        <f t="shared" si="2"/>
        <v>97.635999999999996</v>
      </c>
      <c r="AK15" s="7">
        <f t="shared" si="3"/>
        <v>27</v>
      </c>
      <c r="AL15" s="7">
        <f t="shared" si="4"/>
        <v>18.695399999999999</v>
      </c>
      <c r="AM15" s="7"/>
      <c r="AN15" s="95">
        <f t="shared" si="5"/>
        <v>299.26814631007608</v>
      </c>
      <c r="AP15" s="8" t="s">
        <v>724</v>
      </c>
    </row>
    <row r="16" spans="1:44" ht="15.75" customHeight="1" thickBot="1" x14ac:dyDescent="0.3">
      <c r="A16" s="259" t="str">
        <f t="shared" si="6"/>
        <v>Tractors Tracked 450-549 hp</v>
      </c>
      <c r="B16" s="260" t="s">
        <v>6</v>
      </c>
      <c r="C16" s="261" t="s">
        <v>15</v>
      </c>
      <c r="D16" s="261" t="s">
        <v>11</v>
      </c>
      <c r="E16" s="264" t="s">
        <v>11</v>
      </c>
      <c r="F16" s="256">
        <v>731200</v>
      </c>
      <c r="G16" s="48">
        <f t="shared" si="7"/>
        <v>730000</v>
      </c>
      <c r="H16" s="55"/>
      <c r="I16" s="56" t="s">
        <v>13</v>
      </c>
      <c r="J16" s="56" t="s">
        <v>399</v>
      </c>
      <c r="K16" s="57"/>
      <c r="L16" s="57"/>
      <c r="M16" s="57"/>
      <c r="N16" s="56" t="s">
        <v>368</v>
      </c>
      <c r="O16" s="56" t="s">
        <v>400</v>
      </c>
      <c r="P16" s="57"/>
      <c r="Q16" s="57"/>
      <c r="R16" s="57"/>
      <c r="S16" s="56" t="s">
        <v>376</v>
      </c>
      <c r="T16" s="56" t="s">
        <v>401</v>
      </c>
      <c r="U16" s="57"/>
      <c r="V16" s="57"/>
      <c r="W16" s="55"/>
      <c r="X16" s="8">
        <v>15</v>
      </c>
      <c r="Y16" s="8">
        <v>450</v>
      </c>
      <c r="Z16" s="9">
        <v>3.2</v>
      </c>
      <c r="AA16" s="8">
        <v>110</v>
      </c>
      <c r="AF16" s="95">
        <f t="shared" si="0"/>
        <v>107.50910770978254</v>
      </c>
      <c r="AG16" s="95">
        <f t="shared" si="8"/>
        <v>51.99644444444445</v>
      </c>
      <c r="AH16" s="95">
        <f t="shared" si="1"/>
        <v>23.925832823134048</v>
      </c>
      <c r="AI16" s="95">
        <f t="shared" si="14"/>
        <v>183.43138497736103</v>
      </c>
      <c r="AJ16" s="7">
        <f t="shared" si="2"/>
        <v>139.47999999999999</v>
      </c>
      <c r="AK16" s="7">
        <f t="shared" si="3"/>
        <v>27</v>
      </c>
      <c r="AL16" s="7">
        <f t="shared" si="4"/>
        <v>24.971999999999998</v>
      </c>
      <c r="AM16" s="7"/>
      <c r="AN16" s="95">
        <f t="shared" si="5"/>
        <v>374.883384977361</v>
      </c>
      <c r="AP16" s="8" t="s">
        <v>724</v>
      </c>
    </row>
    <row r="17" spans="1:42" ht="15.75" customHeight="1" thickBot="1" x14ac:dyDescent="0.3">
      <c r="A17" s="259" t="str">
        <f t="shared" si="6"/>
        <v>Tractors Tracked 550-599 hp</v>
      </c>
      <c r="B17" s="260" t="s">
        <v>6</v>
      </c>
      <c r="C17" s="261" t="s">
        <v>15</v>
      </c>
      <c r="D17" s="261" t="s">
        <v>8</v>
      </c>
      <c r="E17" s="264" t="s">
        <v>8</v>
      </c>
      <c r="F17" s="256">
        <v>797700</v>
      </c>
      <c r="G17" s="48">
        <f t="shared" si="7"/>
        <v>800000</v>
      </c>
      <c r="H17" s="55"/>
      <c r="I17" s="56" t="s">
        <v>13</v>
      </c>
      <c r="J17" s="56" t="s">
        <v>402</v>
      </c>
      <c r="K17" s="57"/>
      <c r="L17" s="57"/>
      <c r="M17" s="57"/>
      <c r="N17" s="56" t="s">
        <v>368</v>
      </c>
      <c r="O17" s="56" t="s">
        <v>403</v>
      </c>
      <c r="P17" s="57"/>
      <c r="Q17" s="57"/>
      <c r="R17" s="57"/>
      <c r="S17" s="56" t="s">
        <v>376</v>
      </c>
      <c r="T17" s="56" t="s">
        <v>404</v>
      </c>
      <c r="U17" s="57"/>
      <c r="V17" s="57"/>
      <c r="W17" s="55"/>
      <c r="X17" s="8">
        <v>15</v>
      </c>
      <c r="Y17" s="8">
        <v>450</v>
      </c>
      <c r="Z17" s="9">
        <v>3.2</v>
      </c>
      <c r="AA17" s="8">
        <v>112</v>
      </c>
      <c r="AF17" s="95">
        <f t="shared" si="0"/>
        <v>117.28667289400101</v>
      </c>
      <c r="AG17" s="95">
        <f t="shared" si="8"/>
        <v>56.725333333333339</v>
      </c>
      <c r="AH17" s="95">
        <f t="shared" si="1"/>
        <v>26.101800934100151</v>
      </c>
      <c r="AI17" s="95">
        <f t="shared" si="14"/>
        <v>200.11380716143449</v>
      </c>
      <c r="AJ17" s="7">
        <f t="shared" si="2"/>
        <v>142.01599999999999</v>
      </c>
      <c r="AK17" s="7">
        <f t="shared" si="3"/>
        <v>27</v>
      </c>
      <c r="AL17" s="7">
        <f t="shared" si="4"/>
        <v>25.352399999999999</v>
      </c>
      <c r="AM17" s="7"/>
      <c r="AN17" s="95">
        <f t="shared" si="5"/>
        <v>394.48220716143447</v>
      </c>
      <c r="AP17" s="8" t="s">
        <v>724</v>
      </c>
    </row>
    <row r="18" spans="1:42" ht="15.75" customHeight="1" thickBot="1" x14ac:dyDescent="0.3">
      <c r="A18" s="259" t="str">
        <f t="shared" si="6"/>
        <v>Tractors Tracked 600+ hp</v>
      </c>
      <c r="B18" s="260" t="s">
        <v>6</v>
      </c>
      <c r="C18" s="261" t="s">
        <v>15</v>
      </c>
      <c r="D18" s="261" t="s">
        <v>9</v>
      </c>
      <c r="E18" s="263" t="s">
        <v>9</v>
      </c>
      <c r="F18" s="256">
        <v>885100</v>
      </c>
      <c r="G18" s="48">
        <f t="shared" si="7"/>
        <v>885000</v>
      </c>
      <c r="H18" s="52"/>
      <c r="I18" s="53" t="s">
        <v>13</v>
      </c>
      <c r="J18" s="53" t="s">
        <v>405</v>
      </c>
      <c r="K18" s="54"/>
      <c r="L18" s="54"/>
      <c r="M18" s="54"/>
      <c r="N18" s="53" t="s">
        <v>368</v>
      </c>
      <c r="O18" s="53" t="s">
        <v>406</v>
      </c>
      <c r="P18" s="54"/>
      <c r="Q18" s="54"/>
      <c r="R18" s="54"/>
      <c r="S18" s="53" t="s">
        <v>376</v>
      </c>
      <c r="T18" s="53" t="s">
        <v>407</v>
      </c>
      <c r="U18" s="54"/>
      <c r="V18" s="54"/>
      <c r="W18" s="52"/>
      <c r="X18" s="8">
        <v>15</v>
      </c>
      <c r="Y18" s="8">
        <v>450</v>
      </c>
      <c r="Z18" s="9">
        <v>3.2</v>
      </c>
      <c r="AA18" s="8">
        <v>115</v>
      </c>
      <c r="AF18" s="95">
        <f t="shared" si="0"/>
        <v>130.13718713611672</v>
      </c>
      <c r="AG18" s="95">
        <f t="shared" si="8"/>
        <v>62.940444444444445</v>
      </c>
      <c r="AH18" s="95">
        <f t="shared" si="1"/>
        <v>28.961644737084171</v>
      </c>
      <c r="AI18" s="95">
        <f t="shared" si="14"/>
        <v>222.03927631764532</v>
      </c>
      <c r="AJ18" s="7">
        <f t="shared" si="2"/>
        <v>145.82</v>
      </c>
      <c r="AK18" s="7">
        <f t="shared" si="3"/>
        <v>27</v>
      </c>
      <c r="AL18" s="7">
        <f t="shared" si="4"/>
        <v>25.922999999999998</v>
      </c>
      <c r="AM18" s="7"/>
      <c r="AN18" s="95">
        <f t="shared" si="5"/>
        <v>420.78227631764531</v>
      </c>
      <c r="AP18" s="8" t="s">
        <v>724</v>
      </c>
    </row>
    <row r="19" spans="1:42" ht="15.75" customHeight="1" thickBot="1" x14ac:dyDescent="0.3">
      <c r="A19" s="259" t="str">
        <f t="shared" si="6"/>
        <v>Harvesting_Grain Rotary_Combine Class 5 (less than 300 hp)</v>
      </c>
      <c r="B19" s="260" t="s">
        <v>280</v>
      </c>
      <c r="C19" s="261" t="s">
        <v>286</v>
      </c>
      <c r="D19" s="261" t="s">
        <v>164</v>
      </c>
      <c r="E19" s="262" t="s">
        <v>55</v>
      </c>
      <c r="F19" s="256">
        <v>492200</v>
      </c>
      <c r="G19" s="48">
        <f>ROUND(F19/5000,0)*5000</f>
        <v>490000</v>
      </c>
      <c r="H19" s="49"/>
      <c r="I19" s="50" t="s">
        <v>13</v>
      </c>
      <c r="J19" s="50" t="s">
        <v>30</v>
      </c>
      <c r="K19" s="51"/>
      <c r="L19" s="51"/>
      <c r="M19" s="51"/>
      <c r="N19" s="50" t="s">
        <v>368</v>
      </c>
      <c r="O19" s="50">
        <v>5140</v>
      </c>
      <c r="P19" s="51"/>
      <c r="Q19" s="51"/>
      <c r="R19" s="51"/>
      <c r="S19" s="50"/>
      <c r="T19" s="50"/>
      <c r="U19" s="51"/>
      <c r="V19" s="51"/>
      <c r="W19" s="49"/>
      <c r="X19" s="8">
        <v>12</v>
      </c>
      <c r="Y19" s="8">
        <v>250</v>
      </c>
      <c r="Z19" s="9">
        <v>2.5</v>
      </c>
      <c r="AA19" s="8">
        <v>43</v>
      </c>
      <c r="AB19" s="101">
        <v>3.5</v>
      </c>
      <c r="AC19" s="101">
        <v>25</v>
      </c>
      <c r="AD19" s="102">
        <f t="shared" ref="AD19:AD24" si="15">ROUND((AB19*5280*AC19*Field_efficiency)/43560,0)</f>
        <v>8</v>
      </c>
      <c r="AE19" s="8" t="s">
        <v>713</v>
      </c>
      <c r="AF19" s="95">
        <f t="shared" si="0"/>
        <v>157.90754230470279</v>
      </c>
      <c r="AG19" s="95">
        <f t="shared" si="8"/>
        <v>49.22</v>
      </c>
      <c r="AH19" s="95">
        <f t="shared" si="1"/>
        <v>31.069131345705415</v>
      </c>
      <c r="AI19" s="95">
        <f t="shared" ref="AI19" si="16">AF19+AG19+AH19</f>
        <v>238.1966736504082</v>
      </c>
      <c r="AJ19" s="7">
        <f t="shared" si="2"/>
        <v>54.524000000000001</v>
      </c>
      <c r="AK19" s="7">
        <f t="shared" si="3"/>
        <v>27</v>
      </c>
      <c r="AL19" s="7">
        <f t="shared" si="4"/>
        <v>12.2286</v>
      </c>
      <c r="AM19" s="7"/>
      <c r="AN19" s="95">
        <f t="shared" si="5"/>
        <v>331.94927365040826</v>
      </c>
      <c r="AP19" s="8" t="s">
        <v>724</v>
      </c>
    </row>
    <row r="20" spans="1:42" ht="15.75" customHeight="1" thickBot="1" x14ac:dyDescent="0.3">
      <c r="A20" s="259" t="str">
        <f t="shared" si="6"/>
        <v>Harvesting_Grain Rotary_Combine Class 6 (301-360 hp)</v>
      </c>
      <c r="B20" s="260" t="s">
        <v>280</v>
      </c>
      <c r="C20" s="261" t="s">
        <v>286</v>
      </c>
      <c r="D20" s="261" t="s">
        <v>163</v>
      </c>
      <c r="E20" s="264" t="s">
        <v>56</v>
      </c>
      <c r="F20" s="256">
        <v>655000</v>
      </c>
      <c r="G20" s="48">
        <f t="shared" si="7"/>
        <v>655000</v>
      </c>
      <c r="H20" s="55"/>
      <c r="I20" s="56" t="s">
        <v>13</v>
      </c>
      <c r="J20" s="56" t="s">
        <v>32</v>
      </c>
      <c r="K20" s="57"/>
      <c r="L20" s="57"/>
      <c r="M20" s="57"/>
      <c r="N20" s="56" t="s">
        <v>376</v>
      </c>
      <c r="O20" s="56" t="s">
        <v>31</v>
      </c>
      <c r="P20" s="57"/>
      <c r="Q20" s="57"/>
      <c r="R20" s="57"/>
      <c r="S20" s="56" t="s">
        <v>368</v>
      </c>
      <c r="T20" s="58">
        <v>6140</v>
      </c>
      <c r="U20" s="57"/>
      <c r="V20" s="57"/>
      <c r="W20" s="55"/>
      <c r="X20" s="8">
        <v>12</v>
      </c>
      <c r="Y20" s="8">
        <v>250</v>
      </c>
      <c r="Z20" s="9">
        <v>2.5</v>
      </c>
      <c r="AA20" s="8">
        <v>51</v>
      </c>
      <c r="AB20" s="101">
        <v>4</v>
      </c>
      <c r="AC20" s="101">
        <v>25</v>
      </c>
      <c r="AD20" s="102">
        <f t="shared" si="15"/>
        <v>10</v>
      </c>
      <c r="AE20" s="8" t="s">
        <v>713</v>
      </c>
      <c r="AF20" s="95">
        <f t="shared" si="0"/>
        <v>210.13701789837532</v>
      </c>
      <c r="AG20" s="95">
        <f t="shared" si="8"/>
        <v>65.5</v>
      </c>
      <c r="AH20" s="95">
        <f t="shared" si="1"/>
        <v>41.345552684756299</v>
      </c>
      <c r="AI20" s="95">
        <f t="shared" ref="AI20:AI24" si="17">AF20+AG20+AH20</f>
        <v>316.98257058313163</v>
      </c>
      <c r="AJ20" s="7">
        <f t="shared" si="2"/>
        <v>64.668000000000006</v>
      </c>
      <c r="AK20" s="7">
        <f t="shared" si="3"/>
        <v>27</v>
      </c>
      <c r="AL20" s="7">
        <f t="shared" si="4"/>
        <v>13.750200000000001</v>
      </c>
      <c r="AM20" s="7"/>
      <c r="AN20" s="95">
        <f t="shared" si="5"/>
        <v>422.40077058313165</v>
      </c>
      <c r="AP20" s="8" t="s">
        <v>724</v>
      </c>
    </row>
    <row r="21" spans="1:42" ht="15.75" customHeight="1" thickBot="1" x14ac:dyDescent="0.3">
      <c r="A21" s="259" t="str">
        <f t="shared" si="6"/>
        <v>Harvesting_Grain Rotary_Combine Class 7 (361-420 hp)</v>
      </c>
      <c r="B21" s="260" t="s">
        <v>280</v>
      </c>
      <c r="C21" s="261" t="s">
        <v>286</v>
      </c>
      <c r="D21" s="261" t="s">
        <v>162</v>
      </c>
      <c r="E21" s="264" t="s">
        <v>57</v>
      </c>
      <c r="F21" s="256">
        <v>711600</v>
      </c>
      <c r="G21" s="48">
        <f t="shared" si="7"/>
        <v>710000</v>
      </c>
      <c r="H21" s="55"/>
      <c r="I21" s="56" t="s">
        <v>13</v>
      </c>
      <c r="J21" s="56" t="s">
        <v>34</v>
      </c>
      <c r="K21" s="57"/>
      <c r="L21" s="57"/>
      <c r="M21" s="57"/>
      <c r="N21" s="56" t="s">
        <v>376</v>
      </c>
      <c r="O21" s="56" t="s">
        <v>33</v>
      </c>
      <c r="P21" s="57"/>
      <c r="Q21" s="57"/>
      <c r="R21" s="57"/>
      <c r="S21" s="56" t="s">
        <v>368</v>
      </c>
      <c r="T21" s="56">
        <v>7240</v>
      </c>
      <c r="U21" s="57"/>
      <c r="V21" s="57"/>
      <c r="W21" s="55"/>
      <c r="X21" s="8">
        <v>12</v>
      </c>
      <c r="Y21" s="8">
        <v>250</v>
      </c>
      <c r="Z21" s="9">
        <v>2.5</v>
      </c>
      <c r="AA21" s="8">
        <v>55</v>
      </c>
      <c r="AB21" s="101">
        <v>4</v>
      </c>
      <c r="AC21" s="101">
        <v>30</v>
      </c>
      <c r="AD21" s="102">
        <f t="shared" si="15"/>
        <v>12</v>
      </c>
      <c r="AE21" s="8" t="s">
        <v>713</v>
      </c>
      <c r="AF21" s="95">
        <f t="shared" si="0"/>
        <v>228.29542280379218</v>
      </c>
      <c r="AG21" s="95">
        <f t="shared" si="8"/>
        <v>71.16</v>
      </c>
      <c r="AH21" s="95">
        <f t="shared" si="1"/>
        <v>44.918313420568829</v>
      </c>
      <c r="AI21" s="95">
        <f t="shared" si="17"/>
        <v>344.37373622436104</v>
      </c>
      <c r="AJ21" s="7">
        <f t="shared" si="2"/>
        <v>69.739999999999995</v>
      </c>
      <c r="AK21" s="7">
        <f t="shared" si="3"/>
        <v>27</v>
      </c>
      <c r="AL21" s="7">
        <f t="shared" si="4"/>
        <v>14.510999999999999</v>
      </c>
      <c r="AM21" s="7"/>
      <c r="AN21" s="95">
        <f t="shared" si="5"/>
        <v>455.62473622436107</v>
      </c>
      <c r="AP21" s="8" t="s">
        <v>724</v>
      </c>
    </row>
    <row r="22" spans="1:42" ht="15.75" customHeight="1" thickBot="1" x14ac:dyDescent="0.3">
      <c r="A22" s="259" t="str">
        <f t="shared" si="6"/>
        <v>Harvesting_Grain Rotary_Combine Class 8 (421-500 hp)</v>
      </c>
      <c r="B22" s="260" t="s">
        <v>280</v>
      </c>
      <c r="C22" s="261" t="s">
        <v>286</v>
      </c>
      <c r="D22" s="261" t="s">
        <v>165</v>
      </c>
      <c r="E22" s="264" t="s">
        <v>58</v>
      </c>
      <c r="F22" s="256">
        <v>756600</v>
      </c>
      <c r="G22" s="48">
        <f t="shared" si="7"/>
        <v>755000</v>
      </c>
      <c r="H22" s="55"/>
      <c r="I22" s="56" t="s">
        <v>13</v>
      </c>
      <c r="J22" s="56" t="s">
        <v>36</v>
      </c>
      <c r="K22" s="57"/>
      <c r="L22" s="57"/>
      <c r="M22" s="57"/>
      <c r="N22" s="56" t="s">
        <v>376</v>
      </c>
      <c r="O22" s="56" t="s">
        <v>35</v>
      </c>
      <c r="P22" s="57"/>
      <c r="Q22" s="57"/>
      <c r="R22" s="57"/>
      <c r="S22" s="56" t="s">
        <v>368</v>
      </c>
      <c r="T22" s="56">
        <v>8240</v>
      </c>
      <c r="U22" s="57"/>
      <c r="V22" s="57"/>
      <c r="W22" s="55"/>
      <c r="X22" s="8">
        <v>12</v>
      </c>
      <c r="Y22" s="8">
        <v>250</v>
      </c>
      <c r="Z22" s="9">
        <v>2.5</v>
      </c>
      <c r="AA22" s="8">
        <v>71</v>
      </c>
      <c r="AB22" s="101">
        <v>4.5</v>
      </c>
      <c r="AC22" s="101">
        <v>35</v>
      </c>
      <c r="AD22" s="102">
        <f t="shared" si="15"/>
        <v>15</v>
      </c>
      <c r="AE22" s="8" t="s">
        <v>713</v>
      </c>
      <c r="AF22" s="95">
        <f t="shared" si="0"/>
        <v>242.73231716322252</v>
      </c>
      <c r="AG22" s="95">
        <f t="shared" si="8"/>
        <v>75.66</v>
      </c>
      <c r="AH22" s="95">
        <f t="shared" si="1"/>
        <v>47.758847574483376</v>
      </c>
      <c r="AI22" s="95">
        <f t="shared" si="17"/>
        <v>366.15116473770587</v>
      </c>
      <c r="AJ22" s="7">
        <f t="shared" si="2"/>
        <v>90.028000000000006</v>
      </c>
      <c r="AK22" s="7">
        <f t="shared" si="3"/>
        <v>27</v>
      </c>
      <c r="AL22" s="7">
        <f t="shared" si="4"/>
        <v>17.554200000000002</v>
      </c>
      <c r="AM22" s="7"/>
      <c r="AN22" s="95">
        <f t="shared" si="5"/>
        <v>500.73336473770587</v>
      </c>
      <c r="AP22" s="8" t="s">
        <v>724</v>
      </c>
    </row>
    <row r="23" spans="1:42" ht="15.75" customHeight="1" thickBot="1" x14ac:dyDescent="0.3">
      <c r="A23" s="259" t="str">
        <f t="shared" si="6"/>
        <v>Harvesting_Grain Rotary_Combine Class 9 (501-560 hp)</v>
      </c>
      <c r="B23" s="260" t="s">
        <v>280</v>
      </c>
      <c r="C23" s="261" t="s">
        <v>286</v>
      </c>
      <c r="D23" s="261" t="s">
        <v>166</v>
      </c>
      <c r="E23" s="264" t="s">
        <v>59</v>
      </c>
      <c r="F23" s="256">
        <v>810600</v>
      </c>
      <c r="G23" s="48">
        <f t="shared" si="7"/>
        <v>810000</v>
      </c>
      <c r="H23" s="55"/>
      <c r="I23" s="56" t="s">
        <v>13</v>
      </c>
      <c r="J23" s="56" t="s">
        <v>38</v>
      </c>
      <c r="K23" s="57"/>
      <c r="L23" s="57"/>
      <c r="M23" s="57"/>
      <c r="N23" s="56" t="s">
        <v>376</v>
      </c>
      <c r="O23" s="56" t="s">
        <v>37</v>
      </c>
      <c r="P23" s="57"/>
      <c r="Q23" s="57"/>
      <c r="R23" s="57"/>
      <c r="S23" s="56" t="s">
        <v>368</v>
      </c>
      <c r="T23" s="56">
        <v>9240</v>
      </c>
      <c r="U23" s="57"/>
      <c r="V23" s="57"/>
      <c r="W23" s="55"/>
      <c r="X23" s="8">
        <v>12</v>
      </c>
      <c r="Y23" s="8">
        <v>250</v>
      </c>
      <c r="Z23" s="9">
        <v>2.5</v>
      </c>
      <c r="AA23" s="8">
        <v>82</v>
      </c>
      <c r="AB23" s="101">
        <v>4.5</v>
      </c>
      <c r="AC23" s="101">
        <v>40</v>
      </c>
      <c r="AD23" s="102">
        <f t="shared" si="15"/>
        <v>17</v>
      </c>
      <c r="AE23" s="8" t="s">
        <v>713</v>
      </c>
      <c r="AF23" s="95">
        <f t="shared" si="0"/>
        <v>260.056590394539</v>
      </c>
      <c r="AG23" s="95">
        <f t="shared" si="8"/>
        <v>81.06</v>
      </c>
      <c r="AH23" s="95">
        <f t="shared" si="1"/>
        <v>51.167488559180846</v>
      </c>
      <c r="AI23" s="95">
        <f t="shared" si="17"/>
        <v>392.28407895371987</v>
      </c>
      <c r="AJ23" s="7">
        <f t="shared" si="2"/>
        <v>103.976</v>
      </c>
      <c r="AK23" s="7">
        <f t="shared" si="3"/>
        <v>27</v>
      </c>
      <c r="AL23" s="7">
        <f t="shared" si="4"/>
        <v>19.6464</v>
      </c>
      <c r="AM23" s="7"/>
      <c r="AN23" s="95">
        <f t="shared" si="5"/>
        <v>542.90647895371978</v>
      </c>
      <c r="AP23" s="8" t="s">
        <v>724</v>
      </c>
    </row>
    <row r="24" spans="1:42" ht="15.75" customHeight="1" thickBot="1" x14ac:dyDescent="0.3">
      <c r="A24" s="259" t="str">
        <f t="shared" si="6"/>
        <v>Harvesting_Grain Rotary_Combine Class 10 (561+ hp)</v>
      </c>
      <c r="B24" s="260" t="s">
        <v>280</v>
      </c>
      <c r="C24" s="261" t="s">
        <v>286</v>
      </c>
      <c r="D24" s="261" t="s">
        <v>167</v>
      </c>
      <c r="E24" s="263" t="s">
        <v>823</v>
      </c>
      <c r="F24" s="256">
        <v>877100</v>
      </c>
      <c r="G24" s="48">
        <f t="shared" si="7"/>
        <v>875000</v>
      </c>
      <c r="H24" s="52"/>
      <c r="I24" s="53" t="s">
        <v>408</v>
      </c>
      <c r="J24" s="53">
        <v>780</v>
      </c>
      <c r="K24" s="54"/>
      <c r="L24" s="54"/>
      <c r="M24" s="54"/>
      <c r="N24" s="53" t="s">
        <v>376</v>
      </c>
      <c r="O24" s="53" t="s">
        <v>409</v>
      </c>
      <c r="P24" s="54"/>
      <c r="Q24" s="54"/>
      <c r="R24" s="54"/>
      <c r="S24" s="53"/>
      <c r="T24" s="53"/>
      <c r="U24" s="54"/>
      <c r="V24" s="54"/>
      <c r="W24" s="52"/>
      <c r="X24" s="8">
        <v>12</v>
      </c>
      <c r="Y24" s="8">
        <v>250</v>
      </c>
      <c r="Z24" s="9">
        <v>2.5</v>
      </c>
      <c r="AA24" s="8">
        <v>90</v>
      </c>
      <c r="AB24" s="101">
        <v>5.5</v>
      </c>
      <c r="AC24" s="101">
        <v>40</v>
      </c>
      <c r="AD24" s="102">
        <f t="shared" si="15"/>
        <v>21</v>
      </c>
      <c r="AE24" s="8" t="s">
        <v>713</v>
      </c>
      <c r="AF24" s="95">
        <f t="shared" si="0"/>
        <v>281.39111205903055</v>
      </c>
      <c r="AG24" s="95">
        <f t="shared" si="8"/>
        <v>87.71</v>
      </c>
      <c r="AH24" s="95">
        <f t="shared" si="1"/>
        <v>55.365166808854575</v>
      </c>
      <c r="AI24" s="95">
        <f t="shared" si="17"/>
        <v>424.46627886788508</v>
      </c>
      <c r="AJ24" s="7">
        <f t="shared" si="2"/>
        <v>114.12</v>
      </c>
      <c r="AK24" s="7">
        <f t="shared" si="3"/>
        <v>27</v>
      </c>
      <c r="AL24" s="7">
        <f t="shared" si="4"/>
        <v>21.167999999999999</v>
      </c>
      <c r="AM24" s="7"/>
      <c r="AN24" s="95">
        <f t="shared" si="5"/>
        <v>586.75427886788509</v>
      </c>
      <c r="AP24" s="8" t="s">
        <v>724</v>
      </c>
    </row>
    <row r="25" spans="1:42" ht="15.75" customHeight="1" thickBot="1" x14ac:dyDescent="0.3">
      <c r="A25" s="259" t="str">
        <f t="shared" si="6"/>
        <v>Harvesting_Grain Combine_Header Pickup (12 ft)</v>
      </c>
      <c r="B25" s="260" t="s">
        <v>280</v>
      </c>
      <c r="C25" s="261" t="s">
        <v>287</v>
      </c>
      <c r="D25" s="261" t="s">
        <v>169</v>
      </c>
      <c r="E25" s="262" t="s">
        <v>60</v>
      </c>
      <c r="F25" s="256">
        <v>41400</v>
      </c>
      <c r="G25" s="59">
        <f>ROUND(F25,-3)</f>
        <v>41000</v>
      </c>
      <c r="H25" s="49"/>
      <c r="I25" s="50" t="s">
        <v>376</v>
      </c>
      <c r="J25" s="50" t="s">
        <v>410</v>
      </c>
      <c r="K25" s="51"/>
      <c r="L25" s="51"/>
      <c r="M25" s="51"/>
      <c r="N25" s="50" t="s">
        <v>368</v>
      </c>
      <c r="O25" s="50" t="s">
        <v>411</v>
      </c>
      <c r="P25" s="51"/>
      <c r="Q25" s="51"/>
      <c r="R25" s="51"/>
      <c r="S25" s="50"/>
      <c r="T25" s="50"/>
      <c r="U25" s="51"/>
      <c r="V25" s="51"/>
      <c r="W25" s="49"/>
      <c r="X25" s="8">
        <v>20</v>
      </c>
      <c r="Y25" s="8">
        <v>250</v>
      </c>
      <c r="Z25" s="9">
        <v>1.5</v>
      </c>
      <c r="AF25" s="95">
        <f t="shared" si="0"/>
        <v>8.6315656864055619</v>
      </c>
      <c r="AG25" s="95">
        <f t="shared" si="8"/>
        <v>2.484</v>
      </c>
      <c r="AH25" s="95">
        <f t="shared" si="1"/>
        <v>1.6673348529608343</v>
      </c>
      <c r="AI25" s="95">
        <f t="shared" ref="AI25:AI31" si="18">AF25+AG25+AH25</f>
        <v>12.782900539366397</v>
      </c>
      <c r="AJ25" s="7"/>
      <c r="AK25" s="7"/>
      <c r="AL25" s="7"/>
      <c r="AM25" s="7"/>
      <c r="AN25" s="95"/>
      <c r="AP25" s="8" t="s">
        <v>724</v>
      </c>
    </row>
    <row r="26" spans="1:42" ht="15.75" customHeight="1" thickBot="1" x14ac:dyDescent="0.3">
      <c r="A26" s="259" t="str">
        <f t="shared" si="6"/>
        <v>Harvesting_Grain Combine_Header Pickup (15 ft)</v>
      </c>
      <c r="B26" s="260" t="s">
        <v>280</v>
      </c>
      <c r="C26" s="261" t="s">
        <v>287</v>
      </c>
      <c r="D26" s="261" t="s">
        <v>170</v>
      </c>
      <c r="E26" s="264" t="s">
        <v>61</v>
      </c>
      <c r="F26" s="256">
        <v>45100</v>
      </c>
      <c r="G26" s="59">
        <f t="shared" ref="G26:G27" si="19">ROUND(F26,-3)</f>
        <v>45000</v>
      </c>
      <c r="H26" s="55"/>
      <c r="I26" s="56" t="s">
        <v>13</v>
      </c>
      <c r="J26" s="56" t="s">
        <v>412</v>
      </c>
      <c r="K26" s="57"/>
      <c r="L26" s="57"/>
      <c r="M26" s="57"/>
      <c r="N26" s="56" t="s">
        <v>368</v>
      </c>
      <c r="O26" s="56" t="s">
        <v>413</v>
      </c>
      <c r="P26" s="57"/>
      <c r="Q26" s="57"/>
      <c r="R26" s="57"/>
      <c r="S26" s="56" t="s">
        <v>376</v>
      </c>
      <c r="T26" s="56" t="s">
        <v>414</v>
      </c>
      <c r="U26" s="57"/>
      <c r="V26" s="57"/>
      <c r="W26" s="55"/>
      <c r="X26" s="8">
        <v>20</v>
      </c>
      <c r="Y26" s="8">
        <v>250</v>
      </c>
      <c r="Z26" s="9">
        <v>1.5</v>
      </c>
      <c r="AF26" s="95">
        <f t="shared" si="0"/>
        <v>9.4029858081374602</v>
      </c>
      <c r="AG26" s="95">
        <f t="shared" si="8"/>
        <v>2.706</v>
      </c>
      <c r="AH26" s="95">
        <f t="shared" si="1"/>
        <v>1.8163478712206189</v>
      </c>
      <c r="AI26" s="95">
        <f t="shared" si="18"/>
        <v>13.925333679358079</v>
      </c>
      <c r="AJ26" s="7"/>
      <c r="AK26" s="7"/>
      <c r="AL26" s="7"/>
      <c r="AM26" s="7"/>
      <c r="AN26" s="95"/>
      <c r="AP26" s="8" t="s">
        <v>724</v>
      </c>
    </row>
    <row r="27" spans="1:42" ht="15.75" customHeight="1" thickBot="1" x14ac:dyDescent="0.3">
      <c r="A27" s="259" t="str">
        <f t="shared" si="6"/>
        <v>Harvesting_Grain Combine_Header Rigid (20-25 ft)</v>
      </c>
      <c r="B27" s="260" t="s">
        <v>280</v>
      </c>
      <c r="C27" s="261" t="s">
        <v>287</v>
      </c>
      <c r="D27" s="261" t="s">
        <v>168</v>
      </c>
      <c r="E27" s="264" t="s">
        <v>62</v>
      </c>
      <c r="F27" s="256">
        <v>54800</v>
      </c>
      <c r="G27" s="59">
        <f t="shared" si="19"/>
        <v>55000</v>
      </c>
      <c r="H27" s="55"/>
      <c r="I27" s="56" t="s">
        <v>376</v>
      </c>
      <c r="J27" s="56" t="s">
        <v>415</v>
      </c>
      <c r="K27" s="57"/>
      <c r="L27" s="57"/>
      <c r="M27" s="57"/>
      <c r="N27" s="56" t="s">
        <v>368</v>
      </c>
      <c r="O27" s="56" t="s">
        <v>416</v>
      </c>
      <c r="P27" s="57"/>
      <c r="Q27" s="57"/>
      <c r="R27" s="57"/>
      <c r="S27" s="56" t="s">
        <v>376</v>
      </c>
      <c r="T27" s="56" t="s">
        <v>417</v>
      </c>
      <c r="U27" s="57"/>
      <c r="V27" s="57"/>
      <c r="W27" s="55"/>
      <c r="X27" s="8">
        <v>20</v>
      </c>
      <c r="Y27" s="8">
        <v>250</v>
      </c>
      <c r="Z27" s="9">
        <v>2</v>
      </c>
      <c r="AF27" s="95">
        <f t="shared" si="0"/>
        <v>11.425357478623786</v>
      </c>
      <c r="AG27" s="95">
        <f t="shared" si="8"/>
        <v>4.3840000000000003</v>
      </c>
      <c r="AH27" s="95">
        <f t="shared" si="1"/>
        <v>2.3714036217935677</v>
      </c>
      <c r="AI27" s="95">
        <f t="shared" si="18"/>
        <v>18.180761100417353</v>
      </c>
      <c r="AJ27" s="7"/>
      <c r="AK27" s="7"/>
      <c r="AL27" s="7"/>
      <c r="AM27" s="7"/>
      <c r="AN27" s="95"/>
      <c r="AP27" s="8" t="s">
        <v>724</v>
      </c>
    </row>
    <row r="28" spans="1:42" ht="15.75" customHeight="1" thickBot="1" x14ac:dyDescent="0.3">
      <c r="A28" s="259" t="str">
        <f t="shared" si="6"/>
        <v>Harvesting_Grain Combine_Header Rigid (30-35 ft)</v>
      </c>
      <c r="B28" s="260" t="s">
        <v>280</v>
      </c>
      <c r="C28" s="261" t="s">
        <v>287</v>
      </c>
      <c r="D28" s="261" t="s">
        <v>171</v>
      </c>
      <c r="E28" s="264" t="s">
        <v>63</v>
      </c>
      <c r="F28" s="256">
        <v>71000</v>
      </c>
      <c r="G28" s="48">
        <f>ROUND(F28/5000,0)*5000</f>
        <v>70000</v>
      </c>
      <c r="H28" s="55"/>
      <c r="I28" s="56" t="s">
        <v>376</v>
      </c>
      <c r="J28" s="56" t="s">
        <v>418</v>
      </c>
      <c r="K28" s="57"/>
      <c r="L28" s="57"/>
      <c r="M28" s="57"/>
      <c r="N28" s="56" t="s">
        <v>368</v>
      </c>
      <c r="O28" s="56" t="s">
        <v>419</v>
      </c>
      <c r="P28" s="57"/>
      <c r="Q28" s="57"/>
      <c r="R28" s="57"/>
      <c r="S28" s="56" t="s">
        <v>376</v>
      </c>
      <c r="T28" s="56" t="s">
        <v>420</v>
      </c>
      <c r="U28" s="57"/>
      <c r="V28" s="57"/>
      <c r="W28" s="55"/>
      <c r="X28" s="8">
        <v>20</v>
      </c>
      <c r="Y28" s="8">
        <v>250</v>
      </c>
      <c r="Z28" s="9">
        <v>2</v>
      </c>
      <c r="AF28" s="95">
        <f t="shared" si="0"/>
        <v>14.80292666026075</v>
      </c>
      <c r="AG28" s="95">
        <f t="shared" si="8"/>
        <v>5.68</v>
      </c>
      <c r="AH28" s="95">
        <f t="shared" si="1"/>
        <v>3.0724389990391128</v>
      </c>
      <c r="AI28" s="95">
        <f t="shared" si="18"/>
        <v>23.555365659299866</v>
      </c>
      <c r="AJ28" s="7"/>
      <c r="AK28" s="7"/>
      <c r="AL28" s="7"/>
      <c r="AM28" s="7"/>
      <c r="AN28" s="95"/>
      <c r="AP28" s="8" t="s">
        <v>724</v>
      </c>
    </row>
    <row r="29" spans="1:42" ht="15.75" customHeight="1" thickBot="1" x14ac:dyDescent="0.3">
      <c r="A29" s="259" t="str">
        <f t="shared" si="6"/>
        <v>Harvesting_Grain Combine_Header Flex (20 ft)</v>
      </c>
      <c r="B29" s="260" t="s">
        <v>280</v>
      </c>
      <c r="C29" s="261" t="s">
        <v>287</v>
      </c>
      <c r="D29" s="261" t="s">
        <v>172</v>
      </c>
      <c r="E29" s="264" t="s">
        <v>64</v>
      </c>
      <c r="F29" s="256">
        <v>49900</v>
      </c>
      <c r="G29" s="59">
        <f>ROUND(F29,-3)</f>
        <v>50000</v>
      </c>
      <c r="H29" s="55"/>
      <c r="I29" s="56" t="s">
        <v>13</v>
      </c>
      <c r="J29" s="56" t="s">
        <v>421</v>
      </c>
      <c r="K29" s="57"/>
      <c r="L29" s="57"/>
      <c r="M29" s="57"/>
      <c r="N29" s="56" t="s">
        <v>376</v>
      </c>
      <c r="O29" s="56" t="s">
        <v>422</v>
      </c>
      <c r="P29" s="57"/>
      <c r="Q29" s="57"/>
      <c r="R29" s="57"/>
      <c r="S29" s="56" t="s">
        <v>423</v>
      </c>
      <c r="T29" s="56" t="s">
        <v>424</v>
      </c>
      <c r="U29" s="57"/>
      <c r="V29" s="57"/>
      <c r="W29" s="55"/>
      <c r="X29" s="8">
        <v>15</v>
      </c>
      <c r="Y29" s="8">
        <v>250</v>
      </c>
      <c r="Z29" s="9">
        <v>2.5</v>
      </c>
      <c r="AF29" s="95">
        <f t="shared" si="0"/>
        <v>13.206329396188005</v>
      </c>
      <c r="AG29" s="95">
        <f t="shared" si="8"/>
        <v>4.99</v>
      </c>
      <c r="AH29" s="95">
        <f t="shared" si="1"/>
        <v>2.7294494094282009</v>
      </c>
      <c r="AI29" s="95">
        <f t="shared" si="18"/>
        <v>20.925778805616208</v>
      </c>
      <c r="AJ29" s="7"/>
      <c r="AK29" s="7"/>
      <c r="AL29" s="7"/>
      <c r="AM29" s="7"/>
      <c r="AN29" s="95"/>
      <c r="AP29" s="8" t="s">
        <v>724</v>
      </c>
    </row>
    <row r="30" spans="1:42" ht="15.75" customHeight="1" thickBot="1" x14ac:dyDescent="0.3">
      <c r="A30" s="259" t="str">
        <f t="shared" si="6"/>
        <v>Harvesting_Grain Combine_Header Flex (25 ft)</v>
      </c>
      <c r="B30" s="260" t="s">
        <v>280</v>
      </c>
      <c r="C30" s="261" t="s">
        <v>287</v>
      </c>
      <c r="D30" s="261" t="s">
        <v>173</v>
      </c>
      <c r="E30" s="264" t="s">
        <v>65</v>
      </c>
      <c r="F30" s="256">
        <v>55800</v>
      </c>
      <c r="G30" s="59">
        <f>ROUND(F30,-3)</f>
        <v>56000</v>
      </c>
      <c r="H30" s="55"/>
      <c r="I30" s="56" t="s">
        <v>13</v>
      </c>
      <c r="J30" s="56" t="s">
        <v>425</v>
      </c>
      <c r="K30" s="57"/>
      <c r="L30" s="57"/>
      <c r="M30" s="57"/>
      <c r="N30" s="56" t="s">
        <v>376</v>
      </c>
      <c r="O30" s="56" t="s">
        <v>426</v>
      </c>
      <c r="P30" s="57"/>
      <c r="Q30" s="57"/>
      <c r="R30" s="57"/>
      <c r="S30" s="56" t="s">
        <v>423</v>
      </c>
      <c r="T30" s="56" t="s">
        <v>427</v>
      </c>
      <c r="U30" s="57"/>
      <c r="V30" s="57"/>
      <c r="W30" s="55"/>
      <c r="X30" s="8">
        <v>15</v>
      </c>
      <c r="Y30" s="8">
        <v>250</v>
      </c>
      <c r="Z30" s="9">
        <v>2.5</v>
      </c>
      <c r="AF30" s="95">
        <f t="shared" si="0"/>
        <v>14.767799204554919</v>
      </c>
      <c r="AG30" s="95">
        <f t="shared" si="8"/>
        <v>5.58</v>
      </c>
      <c r="AH30" s="95">
        <f t="shared" si="1"/>
        <v>3.0521698806832376</v>
      </c>
      <c r="AI30" s="95">
        <f t="shared" si="18"/>
        <v>23.399969085238155</v>
      </c>
      <c r="AJ30" s="7"/>
      <c r="AK30" s="7"/>
      <c r="AL30" s="7"/>
      <c r="AM30" s="7"/>
      <c r="AN30" s="95"/>
      <c r="AP30" s="8" t="s">
        <v>724</v>
      </c>
    </row>
    <row r="31" spans="1:42" ht="15.75" customHeight="1" thickBot="1" x14ac:dyDescent="0.3">
      <c r="A31" s="259" t="str">
        <f t="shared" si="6"/>
        <v>Harvesting_Grain Combine_Header Flex (30 ft)</v>
      </c>
      <c r="B31" s="260" t="s">
        <v>280</v>
      </c>
      <c r="C31" s="261" t="s">
        <v>287</v>
      </c>
      <c r="D31" s="261" t="s">
        <v>174</v>
      </c>
      <c r="E31" s="264" t="s">
        <v>66</v>
      </c>
      <c r="F31" s="256">
        <v>65200</v>
      </c>
      <c r="G31" s="48">
        <f>ROUND(F31/5000,0)*5000</f>
        <v>65000</v>
      </c>
      <c r="H31" s="55"/>
      <c r="I31" s="56" t="s">
        <v>13</v>
      </c>
      <c r="J31" s="56" t="s">
        <v>428</v>
      </c>
      <c r="K31" s="57"/>
      <c r="L31" s="57"/>
      <c r="M31" s="57"/>
      <c r="N31" s="56" t="s">
        <v>376</v>
      </c>
      <c r="O31" s="56" t="s">
        <v>429</v>
      </c>
      <c r="P31" s="57"/>
      <c r="Q31" s="57"/>
      <c r="R31" s="57"/>
      <c r="S31" s="56" t="s">
        <v>423</v>
      </c>
      <c r="T31" s="56" t="s">
        <v>430</v>
      </c>
      <c r="U31" s="57"/>
      <c r="V31" s="57"/>
      <c r="W31" s="55"/>
      <c r="X31" s="8">
        <v>15</v>
      </c>
      <c r="Y31" s="8">
        <v>250</v>
      </c>
      <c r="Z31" s="9">
        <v>2.5</v>
      </c>
      <c r="AF31" s="95">
        <f t="shared" si="0"/>
        <v>17.255564661953066</v>
      </c>
      <c r="AG31" s="95">
        <f t="shared" si="8"/>
        <v>6.52</v>
      </c>
      <c r="AH31" s="95">
        <f t="shared" si="1"/>
        <v>3.5663346992929599</v>
      </c>
      <c r="AI31" s="95">
        <f t="shared" si="18"/>
        <v>27.341899361246025</v>
      </c>
      <c r="AJ31" s="7"/>
      <c r="AK31" s="7"/>
      <c r="AL31" s="7"/>
      <c r="AM31" s="7"/>
      <c r="AN31" s="95"/>
      <c r="AP31" s="8" t="s">
        <v>724</v>
      </c>
    </row>
    <row r="32" spans="1:42" ht="15.75" customHeight="1" thickBot="1" x14ac:dyDescent="0.3">
      <c r="A32" s="259" t="str">
        <f t="shared" si="6"/>
        <v>Harvesting_Grain Combine_Header Flex (35 ft)</v>
      </c>
      <c r="B32" s="260" t="s">
        <v>280</v>
      </c>
      <c r="C32" s="261" t="s">
        <v>287</v>
      </c>
      <c r="D32" s="261" t="s">
        <v>175</v>
      </c>
      <c r="E32" s="264" t="s">
        <v>67</v>
      </c>
      <c r="F32" s="256">
        <v>74700</v>
      </c>
      <c r="G32" s="48">
        <f t="shared" ref="G32:G53" si="20">ROUND(F32/5000,0)*5000</f>
        <v>75000</v>
      </c>
      <c r="H32" s="55"/>
      <c r="I32" s="56" t="s">
        <v>13</v>
      </c>
      <c r="J32" s="56" t="s">
        <v>431</v>
      </c>
      <c r="K32" s="57"/>
      <c r="L32" s="57"/>
      <c r="M32" s="57"/>
      <c r="N32" s="56" t="s">
        <v>376</v>
      </c>
      <c r="O32" s="56" t="s">
        <v>432</v>
      </c>
      <c r="P32" s="57"/>
      <c r="Q32" s="57"/>
      <c r="R32" s="57"/>
      <c r="S32" s="56" t="s">
        <v>423</v>
      </c>
      <c r="T32" s="56" t="s">
        <v>433</v>
      </c>
      <c r="U32" s="57"/>
      <c r="V32" s="57"/>
      <c r="W32" s="55"/>
      <c r="X32" s="8">
        <v>15</v>
      </c>
      <c r="Y32" s="8">
        <v>250</v>
      </c>
      <c r="Z32" s="9">
        <v>2.5</v>
      </c>
      <c r="AF32" s="95">
        <f t="shared" si="0"/>
        <v>19.769795709323521</v>
      </c>
      <c r="AG32" s="95">
        <f t="shared" si="8"/>
        <v>7.47</v>
      </c>
      <c r="AH32" s="95">
        <f t="shared" si="1"/>
        <v>4.085969356398528</v>
      </c>
      <c r="AI32" s="95">
        <f t="shared" ref="AI32" si="21">AF32+AG32+AH32</f>
        <v>31.325765065722049</v>
      </c>
      <c r="AJ32" s="7"/>
      <c r="AK32" s="7"/>
      <c r="AL32" s="7"/>
      <c r="AM32" s="7"/>
      <c r="AN32" s="95"/>
      <c r="AP32" s="8" t="s">
        <v>724</v>
      </c>
    </row>
    <row r="33" spans="1:43" ht="15.75" customHeight="1" thickBot="1" x14ac:dyDescent="0.3">
      <c r="A33" s="259" t="str">
        <f t="shared" si="6"/>
        <v>Harvesting_Grain Combine_Header Draper (25 ft)</v>
      </c>
      <c r="B33" s="260" t="s">
        <v>280</v>
      </c>
      <c r="C33" s="261" t="s">
        <v>287</v>
      </c>
      <c r="D33" s="261" t="s">
        <v>176</v>
      </c>
      <c r="E33" s="264" t="s">
        <v>65</v>
      </c>
      <c r="F33" s="256">
        <v>99100</v>
      </c>
      <c r="G33" s="48">
        <f t="shared" si="20"/>
        <v>100000</v>
      </c>
      <c r="H33" s="55"/>
      <c r="I33" s="56" t="s">
        <v>13</v>
      </c>
      <c r="J33" s="56" t="s">
        <v>434</v>
      </c>
      <c r="K33" s="57"/>
      <c r="L33" s="57"/>
      <c r="M33" s="57"/>
      <c r="N33" s="56" t="s">
        <v>368</v>
      </c>
      <c r="O33" s="56" t="s">
        <v>435</v>
      </c>
      <c r="P33" s="57"/>
      <c r="Q33" s="57"/>
      <c r="R33" s="57"/>
      <c r="S33" s="56" t="s">
        <v>423</v>
      </c>
      <c r="T33" s="56" t="s">
        <v>436</v>
      </c>
      <c r="U33" s="57"/>
      <c r="V33" s="57"/>
      <c r="W33" s="55"/>
      <c r="X33" s="8">
        <v>15</v>
      </c>
      <c r="Y33" s="8">
        <v>250</v>
      </c>
      <c r="Z33" s="9">
        <v>2.5</v>
      </c>
      <c r="AF33" s="95">
        <f t="shared" si="0"/>
        <v>26.227399662569766</v>
      </c>
      <c r="AG33" s="95">
        <f t="shared" si="8"/>
        <v>9.91</v>
      </c>
      <c r="AH33" s="95">
        <f t="shared" si="1"/>
        <v>5.4206099493854643</v>
      </c>
      <c r="AI33" s="95">
        <f t="shared" ref="AI33" si="22">AF33+AG33+AH33</f>
        <v>41.558009611955228</v>
      </c>
      <c r="AJ33" s="7"/>
      <c r="AK33" s="7"/>
      <c r="AL33" s="7"/>
      <c r="AM33" s="7"/>
      <c r="AN33" s="95"/>
      <c r="AP33" s="8" t="s">
        <v>724</v>
      </c>
    </row>
    <row r="34" spans="1:43" ht="15.75" customHeight="1" thickBot="1" x14ac:dyDescent="0.3">
      <c r="A34" s="259" t="str">
        <f t="shared" si="6"/>
        <v>Harvesting_Grain Combine_Header Draper (30 ft)</v>
      </c>
      <c r="B34" s="260" t="s">
        <v>280</v>
      </c>
      <c r="C34" s="261" t="s">
        <v>287</v>
      </c>
      <c r="D34" s="261" t="s">
        <v>177</v>
      </c>
      <c r="E34" s="264" t="s">
        <v>66</v>
      </c>
      <c r="F34" s="256">
        <v>120800</v>
      </c>
      <c r="G34" s="48">
        <f t="shared" si="20"/>
        <v>120000</v>
      </c>
      <c r="H34" s="55"/>
      <c r="I34" s="56" t="s">
        <v>13</v>
      </c>
      <c r="J34" s="56" t="s">
        <v>437</v>
      </c>
      <c r="K34" s="57"/>
      <c r="L34" s="57"/>
      <c r="M34" s="57"/>
      <c r="N34" s="56" t="s">
        <v>368</v>
      </c>
      <c r="O34" s="56" t="s">
        <v>438</v>
      </c>
      <c r="P34" s="57"/>
      <c r="Q34" s="57"/>
      <c r="R34" s="57"/>
      <c r="S34" s="56" t="s">
        <v>423</v>
      </c>
      <c r="T34" s="56" t="s">
        <v>439</v>
      </c>
      <c r="U34" s="57"/>
      <c r="V34" s="57"/>
      <c r="W34" s="55"/>
      <c r="X34" s="8">
        <v>15</v>
      </c>
      <c r="Y34" s="8">
        <v>250</v>
      </c>
      <c r="Z34" s="9">
        <v>2.5</v>
      </c>
      <c r="AF34" s="95">
        <f t="shared" si="0"/>
        <v>31.970432686563342</v>
      </c>
      <c r="AG34" s="95">
        <f t="shared" si="8"/>
        <v>12.08</v>
      </c>
      <c r="AH34" s="95">
        <f t="shared" si="1"/>
        <v>6.6075649029845005</v>
      </c>
      <c r="AI34" s="95">
        <f t="shared" ref="AI34:AI36" si="23">AF34+AG34+AH34</f>
        <v>50.65799758954784</v>
      </c>
      <c r="AJ34" s="7"/>
      <c r="AK34" s="7"/>
      <c r="AL34" s="7"/>
      <c r="AM34" s="7"/>
      <c r="AN34" s="95"/>
      <c r="AP34" s="8" t="s">
        <v>724</v>
      </c>
    </row>
    <row r="35" spans="1:43" ht="15.75" customHeight="1" thickBot="1" x14ac:dyDescent="0.3">
      <c r="A35" s="259" t="str">
        <f t="shared" si="6"/>
        <v>Harvesting_Grain Combine_Header Draper (35 ft)</v>
      </c>
      <c r="B35" s="260" t="s">
        <v>280</v>
      </c>
      <c r="C35" s="261" t="s">
        <v>287</v>
      </c>
      <c r="D35" s="261" t="s">
        <v>178</v>
      </c>
      <c r="E35" s="264" t="s">
        <v>67</v>
      </c>
      <c r="F35" s="256">
        <v>126600</v>
      </c>
      <c r="G35" s="48">
        <f t="shared" si="20"/>
        <v>125000</v>
      </c>
      <c r="H35" s="55"/>
      <c r="I35" s="56" t="s">
        <v>13</v>
      </c>
      <c r="J35" s="56" t="s">
        <v>440</v>
      </c>
      <c r="K35" s="57"/>
      <c r="L35" s="57"/>
      <c r="M35" s="57"/>
      <c r="N35" s="56" t="s">
        <v>368</v>
      </c>
      <c r="O35" s="56" t="s">
        <v>441</v>
      </c>
      <c r="P35" s="57"/>
      <c r="Q35" s="57"/>
      <c r="R35" s="57"/>
      <c r="S35" s="56" t="s">
        <v>423</v>
      </c>
      <c r="T35" s="56" t="s">
        <v>442</v>
      </c>
      <c r="U35" s="57"/>
      <c r="V35" s="57"/>
      <c r="W35" s="55"/>
      <c r="X35" s="8">
        <v>15</v>
      </c>
      <c r="Y35" s="8">
        <v>250</v>
      </c>
      <c r="Z35" s="9">
        <v>2.5</v>
      </c>
      <c r="AF35" s="95">
        <f t="shared" si="0"/>
        <v>33.505436904957939</v>
      </c>
      <c r="AG35" s="95">
        <f t="shared" si="8"/>
        <v>12.66</v>
      </c>
      <c r="AH35" s="95">
        <f t="shared" si="1"/>
        <v>6.9248155357436909</v>
      </c>
      <c r="AI35" s="95">
        <f t="shared" si="23"/>
        <v>53.090252440701633</v>
      </c>
      <c r="AJ35" s="7"/>
      <c r="AK35" s="7"/>
      <c r="AL35" s="7"/>
      <c r="AM35" s="7"/>
      <c r="AN35" s="95"/>
      <c r="AP35" s="8" t="s">
        <v>724</v>
      </c>
    </row>
    <row r="36" spans="1:43" ht="15.75" customHeight="1" thickBot="1" x14ac:dyDescent="0.3">
      <c r="A36" s="259" t="str">
        <f t="shared" si="6"/>
        <v>Harvesting_Grain Combine_Header Draper (40-45 ft)</v>
      </c>
      <c r="B36" s="260" t="s">
        <v>280</v>
      </c>
      <c r="C36" s="261" t="s">
        <v>287</v>
      </c>
      <c r="D36" s="261" t="s">
        <v>179</v>
      </c>
      <c r="E36" s="264" t="s">
        <v>68</v>
      </c>
      <c r="F36" s="256">
        <v>134200</v>
      </c>
      <c r="G36" s="48">
        <f t="shared" si="20"/>
        <v>135000</v>
      </c>
      <c r="H36" s="55"/>
      <c r="I36" s="56" t="s">
        <v>13</v>
      </c>
      <c r="J36" s="56" t="s">
        <v>443</v>
      </c>
      <c r="K36" s="57"/>
      <c r="L36" s="57"/>
      <c r="M36" s="57"/>
      <c r="N36" s="56" t="s">
        <v>368</v>
      </c>
      <c r="O36" s="56" t="s">
        <v>444</v>
      </c>
      <c r="P36" s="57"/>
      <c r="Q36" s="57"/>
      <c r="R36" s="57"/>
      <c r="S36" s="56" t="s">
        <v>423</v>
      </c>
      <c r="T36" s="56" t="s">
        <v>445</v>
      </c>
      <c r="U36" s="57"/>
      <c r="V36" s="57"/>
      <c r="W36" s="55"/>
      <c r="X36" s="8">
        <v>15</v>
      </c>
      <c r="Y36" s="8">
        <v>250</v>
      </c>
      <c r="Z36" s="9">
        <v>2.5</v>
      </c>
      <c r="AF36" s="95">
        <f t="shared" si="0"/>
        <v>35.516821742854319</v>
      </c>
      <c r="AG36" s="95">
        <f t="shared" si="8"/>
        <v>13.42</v>
      </c>
      <c r="AH36" s="95">
        <f t="shared" si="1"/>
        <v>7.3405232614281477</v>
      </c>
      <c r="AI36" s="95">
        <f t="shared" si="23"/>
        <v>56.277345004282466</v>
      </c>
      <c r="AJ36" s="7"/>
      <c r="AK36" s="7"/>
      <c r="AL36" s="7"/>
      <c r="AM36" s="7"/>
      <c r="AN36" s="95"/>
      <c r="AP36" s="8" t="s">
        <v>724</v>
      </c>
    </row>
    <row r="37" spans="1:43" ht="15.75" customHeight="1" thickBot="1" x14ac:dyDescent="0.3">
      <c r="A37" s="259" t="str">
        <f t="shared" si="6"/>
        <v>Harvesting_Grain Combine_Header Corn (6 row, 30" spacing)</v>
      </c>
      <c r="B37" s="260" t="s">
        <v>280</v>
      </c>
      <c r="C37" s="261" t="s">
        <v>287</v>
      </c>
      <c r="D37" s="261" t="s">
        <v>180</v>
      </c>
      <c r="E37" s="264" t="s">
        <v>69</v>
      </c>
      <c r="F37" s="256">
        <v>81100</v>
      </c>
      <c r="G37" s="48">
        <f t="shared" si="20"/>
        <v>80000</v>
      </c>
      <c r="H37" s="55"/>
      <c r="I37" s="56" t="s">
        <v>13</v>
      </c>
      <c r="J37" s="56" t="s">
        <v>446</v>
      </c>
      <c r="K37" s="57"/>
      <c r="L37" s="57"/>
      <c r="M37" s="57"/>
      <c r="N37" s="56" t="s">
        <v>423</v>
      </c>
      <c r="O37" s="56">
        <v>3206</v>
      </c>
      <c r="P37" s="57"/>
      <c r="Q37" s="57"/>
      <c r="R37" s="57"/>
      <c r="S37" s="56" t="s">
        <v>376</v>
      </c>
      <c r="T37" s="56" t="s">
        <v>447</v>
      </c>
      <c r="U37" s="57"/>
      <c r="V37" s="57"/>
      <c r="W37" s="55"/>
      <c r="X37" s="234">
        <v>15</v>
      </c>
      <c r="Y37" s="234">
        <v>100</v>
      </c>
      <c r="Z37" s="235">
        <v>2.8</v>
      </c>
      <c r="AF37" s="245">
        <f t="shared" ref="AF37:AF75" si="24">(F37*Fraction_dep_over_optimal_life/X37/Y37)+IF(Machinery_Financed_percentage=0,0,(-CUMIPMT(Interest_Rate/2,Payback_loan_period_years*2,F37*Machinery_Financed_percentage,1,Payback_loan_period_years*2,0)/X37/Y37))+((F37*(1-Machinery_Financed_percentage)*(1+Opportunity_Rate/12)^(Opp_inv_period_years*12)-(F37*(1-Machinery_Financed_percentage)))/X37/Y37)+(Insurance_and_Housing*F37/Y37)</f>
        <v>53.658983668880111</v>
      </c>
      <c r="AG37" s="95">
        <f t="shared" si="8"/>
        <v>22.707999999999998</v>
      </c>
      <c r="AH37" s="95">
        <f t="shared" si="1"/>
        <v>11.455047550332017</v>
      </c>
      <c r="AI37" s="95">
        <f t="shared" ref="AI37:AI50" si="25">AF37+AG37+AH37</f>
        <v>87.822031219212121</v>
      </c>
      <c r="AJ37" s="7"/>
      <c r="AK37" s="7"/>
      <c r="AL37" s="7"/>
      <c r="AM37" s="7"/>
      <c r="AN37" s="95"/>
      <c r="AP37" s="8" t="s">
        <v>724</v>
      </c>
    </row>
    <row r="38" spans="1:43" ht="15.75" customHeight="1" thickBot="1" x14ac:dyDescent="0.3">
      <c r="A38" s="259" t="str">
        <f t="shared" si="6"/>
        <v>Harvesting_Grain Combine_Header Corn (8 row, 30" spacing)</v>
      </c>
      <c r="B38" s="260" t="s">
        <v>280</v>
      </c>
      <c r="C38" s="261" t="s">
        <v>287</v>
      </c>
      <c r="D38" s="261" t="s">
        <v>181</v>
      </c>
      <c r="E38" s="264" t="s">
        <v>70</v>
      </c>
      <c r="F38" s="256">
        <v>105200</v>
      </c>
      <c r="G38" s="48">
        <f>ROUND(F38/5000,0)*5000</f>
        <v>105000</v>
      </c>
      <c r="H38" s="55"/>
      <c r="I38" s="56" t="s">
        <v>13</v>
      </c>
      <c r="J38" s="56" t="s">
        <v>448</v>
      </c>
      <c r="K38" s="57"/>
      <c r="L38" s="57"/>
      <c r="M38" s="57"/>
      <c r="N38" s="56" t="s">
        <v>423</v>
      </c>
      <c r="O38" s="56">
        <v>3308</v>
      </c>
      <c r="P38" s="57"/>
      <c r="Q38" s="57"/>
      <c r="R38" s="57"/>
      <c r="S38" s="56" t="s">
        <v>376</v>
      </c>
      <c r="T38" s="56" t="s">
        <v>449</v>
      </c>
      <c r="U38" s="57"/>
      <c r="V38" s="57"/>
      <c r="W38" s="55"/>
      <c r="X38" s="8">
        <v>15</v>
      </c>
      <c r="Y38" s="8">
        <v>100</v>
      </c>
      <c r="Z38" s="9">
        <v>2.8</v>
      </c>
      <c r="AF38" s="95">
        <f t="shared" si="24"/>
        <v>69.604501627203319</v>
      </c>
      <c r="AG38" s="95">
        <f t="shared" si="8"/>
        <v>29.456</v>
      </c>
      <c r="AH38" s="95">
        <f t="shared" ref="AH38:AH75" si="26">Margin_percentage*(AF38+AG38)</f>
        <v>14.859075244080497</v>
      </c>
      <c r="AI38" s="95">
        <f t="shared" si="25"/>
        <v>113.91957687128382</v>
      </c>
      <c r="AJ38" s="7"/>
      <c r="AK38" s="7"/>
      <c r="AL38" s="7"/>
      <c r="AM38" s="7"/>
      <c r="AN38" s="95"/>
      <c r="AP38" s="8" t="s">
        <v>724</v>
      </c>
    </row>
    <row r="39" spans="1:43" ht="15.75" customHeight="1" thickBot="1" x14ac:dyDescent="0.3">
      <c r="A39" s="259" t="str">
        <f t="shared" si="6"/>
        <v>Harvesting_Grain Combine_Header Corn (12 row, 30" spacing)</v>
      </c>
      <c r="B39" s="260" t="s">
        <v>280</v>
      </c>
      <c r="C39" s="261" t="s">
        <v>287</v>
      </c>
      <c r="D39" s="261" t="s">
        <v>182</v>
      </c>
      <c r="E39" s="264" t="s">
        <v>71</v>
      </c>
      <c r="F39" s="256">
        <v>163100</v>
      </c>
      <c r="G39" s="48">
        <f t="shared" si="20"/>
        <v>165000</v>
      </c>
      <c r="H39" s="55"/>
      <c r="I39" s="56" t="s">
        <v>13</v>
      </c>
      <c r="J39" s="56" t="s">
        <v>450</v>
      </c>
      <c r="K39" s="57"/>
      <c r="L39" s="57"/>
      <c r="M39" s="57"/>
      <c r="N39" s="56" t="s">
        <v>423</v>
      </c>
      <c r="O39" s="58">
        <v>3312</v>
      </c>
      <c r="P39" s="57"/>
      <c r="Q39" s="57"/>
      <c r="R39" s="57"/>
      <c r="S39" s="56" t="s">
        <v>376</v>
      </c>
      <c r="T39" s="56" t="s">
        <v>451</v>
      </c>
      <c r="U39" s="57"/>
      <c r="V39" s="57"/>
      <c r="W39" s="55"/>
      <c r="X39" s="8">
        <v>15</v>
      </c>
      <c r="Y39" s="8">
        <v>100</v>
      </c>
      <c r="Z39" s="9">
        <v>2.8</v>
      </c>
      <c r="AF39" s="95">
        <f t="shared" si="24"/>
        <v>107.91344311213746</v>
      </c>
      <c r="AG39" s="95">
        <f t="shared" si="8"/>
        <v>45.667999999999992</v>
      </c>
      <c r="AH39" s="95">
        <f t="shared" si="26"/>
        <v>23.037216466820613</v>
      </c>
      <c r="AI39" s="95">
        <f t="shared" si="25"/>
        <v>176.61865957895805</v>
      </c>
      <c r="AJ39" s="7"/>
      <c r="AK39" s="7"/>
      <c r="AL39" s="7"/>
      <c r="AM39" s="7"/>
      <c r="AN39" s="95"/>
      <c r="AP39" s="8" t="s">
        <v>724</v>
      </c>
    </row>
    <row r="40" spans="1:43" ht="15.75" customHeight="1" thickBot="1" x14ac:dyDescent="0.3">
      <c r="A40" s="259" t="str">
        <f t="shared" si="6"/>
        <v>Harvesting_Grain Combine_Header Corn (16 to 18 row, 20-30" spacing)</v>
      </c>
      <c r="B40" s="260" t="s">
        <v>280</v>
      </c>
      <c r="C40" s="261" t="s">
        <v>287</v>
      </c>
      <c r="D40" s="261" t="s">
        <v>183</v>
      </c>
      <c r="E40" s="263" t="s">
        <v>72</v>
      </c>
      <c r="F40" s="256">
        <v>231700</v>
      </c>
      <c r="G40" s="48">
        <f t="shared" si="20"/>
        <v>230000</v>
      </c>
      <c r="H40" s="52"/>
      <c r="I40" s="53" t="s">
        <v>13</v>
      </c>
      <c r="J40" s="53" t="s">
        <v>452</v>
      </c>
      <c r="K40" s="54"/>
      <c r="L40" s="54"/>
      <c r="M40" s="54"/>
      <c r="N40" s="53" t="s">
        <v>13</v>
      </c>
      <c r="O40" s="53" t="s">
        <v>453</v>
      </c>
      <c r="P40" s="54"/>
      <c r="Q40" s="54"/>
      <c r="R40" s="54"/>
      <c r="S40" s="53" t="s">
        <v>376</v>
      </c>
      <c r="T40" s="53" t="s">
        <v>454</v>
      </c>
      <c r="U40" s="54"/>
      <c r="V40" s="54"/>
      <c r="W40" s="52"/>
      <c r="X40" s="8">
        <v>15</v>
      </c>
      <c r="Y40" s="8">
        <v>100</v>
      </c>
      <c r="Z40" s="9">
        <v>2.8</v>
      </c>
      <c r="AF40" s="95">
        <f t="shared" si="24"/>
        <v>153.30192991466737</v>
      </c>
      <c r="AG40" s="95">
        <f t="shared" si="8"/>
        <v>64.875999999999991</v>
      </c>
      <c r="AH40" s="95">
        <f t="shared" si="26"/>
        <v>32.726689487200098</v>
      </c>
      <c r="AI40" s="95">
        <f t="shared" si="25"/>
        <v>250.90461940186745</v>
      </c>
      <c r="AJ40" s="7"/>
      <c r="AK40" s="7"/>
      <c r="AL40" s="7"/>
      <c r="AM40" s="7"/>
      <c r="AN40" s="95"/>
      <c r="AP40" s="8" t="s">
        <v>724</v>
      </c>
    </row>
    <row r="41" spans="1:43" ht="15.75" customHeight="1" thickBot="1" x14ac:dyDescent="0.3">
      <c r="A41" s="259" t="str">
        <f t="shared" si="6"/>
        <v>Harvesting_Grain Self_propelled_Swather 18-22 ft</v>
      </c>
      <c r="B41" s="260" t="s">
        <v>280</v>
      </c>
      <c r="C41" s="261" t="s">
        <v>341</v>
      </c>
      <c r="D41" s="261" t="s">
        <v>73</v>
      </c>
      <c r="E41" s="262" t="s">
        <v>73</v>
      </c>
      <c r="F41" s="256">
        <v>258800</v>
      </c>
      <c r="G41" s="240">
        <f t="shared" si="20"/>
        <v>260000</v>
      </c>
      <c r="H41" s="11"/>
      <c r="I41" s="60" t="s">
        <v>13</v>
      </c>
      <c r="J41" s="60" t="s">
        <v>455</v>
      </c>
      <c r="K41" s="61"/>
      <c r="L41" s="62"/>
      <c r="M41" s="61"/>
      <c r="N41" s="60"/>
      <c r="O41" s="60"/>
      <c r="P41" s="61"/>
      <c r="Q41" s="61"/>
      <c r="R41" s="61"/>
      <c r="S41" s="60"/>
      <c r="T41" s="60"/>
      <c r="U41" s="61"/>
      <c r="V41" s="61"/>
      <c r="W41" s="11"/>
      <c r="X41" s="8">
        <v>15</v>
      </c>
      <c r="Y41" s="8">
        <v>200</v>
      </c>
      <c r="Z41" s="9">
        <v>2</v>
      </c>
      <c r="AA41" s="96">
        <v>22</v>
      </c>
      <c r="AB41" s="101">
        <v>5.5</v>
      </c>
      <c r="AC41" s="101">
        <v>20</v>
      </c>
      <c r="AD41" s="102">
        <f>ROUND((AB41*5280*AC41*Field_efficiency)/43560,0)</f>
        <v>11</v>
      </c>
      <c r="AE41" s="8" t="s">
        <v>713</v>
      </c>
      <c r="AF41" s="95">
        <f t="shared" si="24"/>
        <v>85.616183560457301</v>
      </c>
      <c r="AG41" s="95">
        <f t="shared" si="8"/>
        <v>25.88</v>
      </c>
      <c r="AH41" s="95">
        <f t="shared" si="26"/>
        <v>16.724427534068592</v>
      </c>
      <c r="AI41" s="95">
        <f t="shared" si="25"/>
        <v>128.22061109452588</v>
      </c>
      <c r="AJ41" s="7">
        <f>AA41*Fuel_Price</f>
        <v>27.896000000000001</v>
      </c>
      <c r="AK41" s="7">
        <f>Labour</f>
        <v>27</v>
      </c>
      <c r="AL41" s="7">
        <f>Margin_percentage*(AJ41+AK41)</f>
        <v>8.2343999999999991</v>
      </c>
      <c r="AM41" s="7"/>
      <c r="AN41" s="95">
        <f>AI41+AJ41+AK41+AL41</f>
        <v>191.35101109452586</v>
      </c>
      <c r="AO41" s="95">
        <f>AN41/AD41</f>
        <v>17.395546463138714</v>
      </c>
      <c r="AP41" s="8" t="s">
        <v>724</v>
      </c>
    </row>
    <row r="42" spans="1:43" ht="15.75" customHeight="1" thickBot="1" x14ac:dyDescent="0.3">
      <c r="A42" s="259" t="str">
        <f t="shared" si="6"/>
        <v>Harvesting_Grain Self_propelled_Swather 25 ft</v>
      </c>
      <c r="B42" s="260" t="s">
        <v>280</v>
      </c>
      <c r="C42" s="261" t="s">
        <v>341</v>
      </c>
      <c r="D42" s="261" t="s">
        <v>65</v>
      </c>
      <c r="E42" s="264" t="s">
        <v>65</v>
      </c>
      <c r="F42" s="256">
        <v>282400</v>
      </c>
      <c r="G42" s="240">
        <f t="shared" si="20"/>
        <v>280000</v>
      </c>
      <c r="H42" s="63"/>
      <c r="I42" s="64" t="s">
        <v>13</v>
      </c>
      <c r="J42" s="64" t="s">
        <v>456</v>
      </c>
      <c r="K42" s="65"/>
      <c r="L42" s="65"/>
      <c r="M42" s="65"/>
      <c r="N42" s="64" t="s">
        <v>368</v>
      </c>
      <c r="O42" s="64" t="s">
        <v>457</v>
      </c>
      <c r="P42" s="65"/>
      <c r="Q42" s="65"/>
      <c r="R42" s="65"/>
      <c r="S42" s="64" t="s">
        <v>376</v>
      </c>
      <c r="T42" s="64" t="s">
        <v>458</v>
      </c>
      <c r="U42" s="65"/>
      <c r="V42" s="65"/>
      <c r="W42" s="63"/>
      <c r="X42" s="8">
        <v>15</v>
      </c>
      <c r="Y42" s="8">
        <v>200</v>
      </c>
      <c r="Z42" s="9">
        <v>2</v>
      </c>
      <c r="AA42" s="96">
        <v>22</v>
      </c>
      <c r="AB42" s="101">
        <v>5.5</v>
      </c>
      <c r="AC42" s="101">
        <v>25</v>
      </c>
      <c r="AD42" s="102">
        <f>ROUND((AB42*5280*AC42*Field_efficiency)/43560,0)</f>
        <v>13</v>
      </c>
      <c r="AE42" s="8" t="s">
        <v>713</v>
      </c>
      <c r="AF42" s="95">
        <f t="shared" si="24"/>
        <v>93.423532602291914</v>
      </c>
      <c r="AG42" s="95">
        <f t="shared" si="8"/>
        <v>28.24</v>
      </c>
      <c r="AH42" s="95">
        <f t="shared" si="26"/>
        <v>18.249529890343787</v>
      </c>
      <c r="AI42" s="95">
        <f t="shared" si="25"/>
        <v>139.9130624926357</v>
      </c>
      <c r="AJ42" s="7">
        <f>AA42*Fuel_Price</f>
        <v>27.896000000000001</v>
      </c>
      <c r="AK42" s="7">
        <f>Labour</f>
        <v>27</v>
      </c>
      <c r="AL42" s="7">
        <f>Margin_percentage*(AJ42+AK42)</f>
        <v>8.2343999999999991</v>
      </c>
      <c r="AM42" s="7"/>
      <c r="AN42" s="95">
        <f>AI42+AJ42+AK42+AL42</f>
        <v>203.04346249263568</v>
      </c>
      <c r="AO42" s="95">
        <f t="shared" ref="AO42:AO44" si="27">AN42/AD42</f>
        <v>15.618727884048898</v>
      </c>
      <c r="AP42" s="8" t="s">
        <v>724</v>
      </c>
    </row>
    <row r="43" spans="1:43" ht="15.75" customHeight="1" thickBot="1" x14ac:dyDescent="0.3">
      <c r="A43" s="259" t="str">
        <f t="shared" si="6"/>
        <v>Harvesting_Grain Self_propelled_Swather 30 ft</v>
      </c>
      <c r="B43" s="260" t="s">
        <v>280</v>
      </c>
      <c r="C43" s="261" t="s">
        <v>341</v>
      </c>
      <c r="D43" s="261" t="s">
        <v>66</v>
      </c>
      <c r="E43" s="264" t="s">
        <v>66</v>
      </c>
      <c r="F43" s="256">
        <v>317600</v>
      </c>
      <c r="G43" s="240">
        <f t="shared" si="20"/>
        <v>320000</v>
      </c>
      <c r="H43" s="63"/>
      <c r="I43" s="64" t="s">
        <v>459</v>
      </c>
      <c r="J43" s="64" t="s">
        <v>460</v>
      </c>
      <c r="K43" s="65"/>
      <c r="L43" s="65"/>
      <c r="M43" s="65"/>
      <c r="N43" s="64" t="s">
        <v>13</v>
      </c>
      <c r="O43" s="64" t="s">
        <v>461</v>
      </c>
      <c r="P43" s="65"/>
      <c r="Q43" s="65"/>
      <c r="R43" s="65"/>
      <c r="S43" s="64" t="s">
        <v>462</v>
      </c>
      <c r="T43" s="64" t="s">
        <v>463</v>
      </c>
      <c r="U43" s="65"/>
      <c r="V43" s="65"/>
      <c r="W43" s="63"/>
      <c r="X43" s="8">
        <v>15</v>
      </c>
      <c r="Y43" s="8">
        <v>200</v>
      </c>
      <c r="Z43" s="9">
        <v>2</v>
      </c>
      <c r="AA43" s="96">
        <v>32</v>
      </c>
      <c r="AB43" s="101">
        <v>5.5</v>
      </c>
      <c r="AC43" s="101">
        <v>30</v>
      </c>
      <c r="AD43" s="102">
        <f>ROUND((AB43*5280*AC43*Field_efficiency)/43560,0)</f>
        <v>16</v>
      </c>
      <c r="AE43" s="8" t="s">
        <v>713</v>
      </c>
      <c r="AF43" s="95">
        <f t="shared" si="24"/>
        <v>105.06839219011299</v>
      </c>
      <c r="AG43" s="95">
        <f t="shared" si="8"/>
        <v>31.76</v>
      </c>
      <c r="AH43" s="95">
        <f t="shared" si="26"/>
        <v>20.524258828516949</v>
      </c>
      <c r="AI43" s="95">
        <f t="shared" si="25"/>
        <v>157.35265101862996</v>
      </c>
      <c r="AJ43" s="7">
        <f>AA43*Fuel_Price</f>
        <v>40.576000000000001</v>
      </c>
      <c r="AK43" s="7">
        <f>Labour</f>
        <v>27</v>
      </c>
      <c r="AL43" s="7">
        <f>Margin_percentage*(AJ43+AK43)</f>
        <v>10.136399999999998</v>
      </c>
      <c r="AM43" s="7"/>
      <c r="AN43" s="95">
        <f>AI43+AJ43+AK43+AL43</f>
        <v>235.06505101862996</v>
      </c>
      <c r="AO43" s="95">
        <f t="shared" si="27"/>
        <v>14.691565688664372</v>
      </c>
      <c r="AP43" s="8" t="s">
        <v>724</v>
      </c>
    </row>
    <row r="44" spans="1:43" ht="15.75" customHeight="1" thickBot="1" x14ac:dyDescent="0.3">
      <c r="A44" s="259" t="str">
        <f>B44&amp;" "&amp;C44&amp;" "&amp;D44</f>
        <v>Harvesting_Grain Self_propelled_Swather 35-40 ft</v>
      </c>
      <c r="B44" s="260" t="s">
        <v>280</v>
      </c>
      <c r="C44" s="261" t="s">
        <v>341</v>
      </c>
      <c r="D44" s="261" t="s">
        <v>74</v>
      </c>
      <c r="E44" s="263" t="s">
        <v>74</v>
      </c>
      <c r="F44" s="256">
        <v>341200</v>
      </c>
      <c r="G44" s="240">
        <f t="shared" si="20"/>
        <v>340000</v>
      </c>
      <c r="H44" s="66"/>
      <c r="I44" s="67" t="s">
        <v>459</v>
      </c>
      <c r="J44" s="67" t="s">
        <v>464</v>
      </c>
      <c r="K44" s="68"/>
      <c r="L44" s="68"/>
      <c r="M44" s="68"/>
      <c r="N44" s="67" t="s">
        <v>459</v>
      </c>
      <c r="O44" s="67" t="s">
        <v>465</v>
      </c>
      <c r="P44" s="68"/>
      <c r="Q44" s="68"/>
      <c r="R44" s="68"/>
      <c r="S44" s="67" t="s">
        <v>13</v>
      </c>
      <c r="T44" s="67" t="s">
        <v>466</v>
      </c>
      <c r="U44" s="68"/>
      <c r="V44" s="68"/>
      <c r="W44" s="66"/>
      <c r="X44" s="8">
        <v>15</v>
      </c>
      <c r="Y44" s="8">
        <v>200</v>
      </c>
      <c r="Z44" s="9">
        <v>2</v>
      </c>
      <c r="AA44" s="96">
        <v>36</v>
      </c>
      <c r="AB44" s="101">
        <v>5.5</v>
      </c>
      <c r="AC44" s="101">
        <v>37.5</v>
      </c>
      <c r="AD44" s="102">
        <f>ROUND((AB44*5280*AC44*Field_efficiency)/43560,0)</f>
        <v>20</v>
      </c>
      <c r="AE44" s="8" t="s">
        <v>713</v>
      </c>
      <c r="AF44" s="95">
        <f t="shared" si="24"/>
        <v>112.87574123194759</v>
      </c>
      <c r="AG44" s="95">
        <f t="shared" si="8"/>
        <v>34.119999999999997</v>
      </c>
      <c r="AH44" s="95">
        <f t="shared" si="26"/>
        <v>22.049361184792136</v>
      </c>
      <c r="AI44" s="95">
        <f t="shared" si="25"/>
        <v>169.04510241673972</v>
      </c>
      <c r="AJ44" s="7">
        <f>AA44*Fuel_Price</f>
        <v>45.648000000000003</v>
      </c>
      <c r="AK44" s="7">
        <f>Labour</f>
        <v>27</v>
      </c>
      <c r="AL44" s="7">
        <f>Margin_percentage*(AJ44+AK44)</f>
        <v>10.8972</v>
      </c>
      <c r="AM44" s="7"/>
      <c r="AN44" s="95">
        <f>AI44+AJ44+AK44+AL44</f>
        <v>252.59030241673972</v>
      </c>
      <c r="AO44" s="95">
        <f t="shared" si="27"/>
        <v>12.629515120836986</v>
      </c>
      <c r="AP44" s="8" t="s">
        <v>724</v>
      </c>
    </row>
    <row r="45" spans="1:43" s="231" customFormat="1" ht="15.75" customHeight="1" thickBot="1" x14ac:dyDescent="0.3">
      <c r="A45" s="265" t="str">
        <f t="shared" ref="A45:A49" si="28">B45&amp;" "&amp;C45&amp;" "&amp;D45</f>
        <v>Harvesting_Grain Grain_Dryer 275-370 bu/hr</v>
      </c>
      <c r="B45" s="260" t="s">
        <v>280</v>
      </c>
      <c r="C45" s="261" t="s">
        <v>815</v>
      </c>
      <c r="D45" s="261" t="s">
        <v>816</v>
      </c>
      <c r="E45" s="261" t="s">
        <v>816</v>
      </c>
      <c r="F45" s="256">
        <v>100000</v>
      </c>
      <c r="G45" s="240">
        <f t="shared" si="20"/>
        <v>100000</v>
      </c>
      <c r="H45" s="236"/>
      <c r="I45" s="243"/>
      <c r="J45" s="243"/>
      <c r="K45" s="236"/>
      <c r="L45" s="244"/>
      <c r="M45" s="244"/>
      <c r="N45" s="243"/>
      <c r="O45" s="243"/>
      <c r="P45" s="244"/>
      <c r="Q45" s="244"/>
      <c r="R45" s="244"/>
      <c r="S45" s="243"/>
      <c r="T45" s="243"/>
      <c r="U45" s="244"/>
      <c r="V45" s="244"/>
      <c r="W45" s="241"/>
      <c r="X45" s="234">
        <v>15</v>
      </c>
      <c r="Y45" s="234">
        <v>150</v>
      </c>
      <c r="Z45" s="235">
        <v>1.2</v>
      </c>
      <c r="AA45" s="246"/>
      <c r="AB45" s="247"/>
      <c r="AC45" s="247"/>
      <c r="AD45" s="248"/>
      <c r="AE45" s="234"/>
      <c r="AF45" s="245">
        <f t="shared" si="24"/>
        <v>44.109316620534415</v>
      </c>
      <c r="AG45" s="245">
        <f t="shared" si="8"/>
        <v>8</v>
      </c>
      <c r="AH45" s="245">
        <f t="shared" si="26"/>
        <v>7.8163974930801619</v>
      </c>
      <c r="AI45" s="245">
        <f t="shared" si="25"/>
        <v>59.925714113614575</v>
      </c>
      <c r="AJ45" s="233"/>
      <c r="AK45" s="233"/>
      <c r="AL45" s="233"/>
      <c r="AM45" s="233"/>
      <c r="AN45" s="245"/>
      <c r="AO45" s="245"/>
      <c r="AP45" s="234"/>
      <c r="AQ45" s="232"/>
    </row>
    <row r="46" spans="1:43" s="231" customFormat="1" ht="15.75" customHeight="1" thickBot="1" x14ac:dyDescent="0.3">
      <c r="A46" s="265" t="str">
        <f t="shared" si="28"/>
        <v>Harvesting_Grain Grain_Dryer 420-610 bu/hr</v>
      </c>
      <c r="B46" s="260" t="s">
        <v>280</v>
      </c>
      <c r="C46" s="261" t="s">
        <v>815</v>
      </c>
      <c r="D46" s="261" t="s">
        <v>817</v>
      </c>
      <c r="E46" s="261" t="s">
        <v>817</v>
      </c>
      <c r="F46" s="256">
        <v>119000</v>
      </c>
      <c r="G46" s="240">
        <v>119000</v>
      </c>
      <c r="H46" s="236"/>
      <c r="I46" s="243"/>
      <c r="J46" s="243"/>
      <c r="K46" s="236"/>
      <c r="L46" s="244"/>
      <c r="M46" s="244"/>
      <c r="N46" s="243"/>
      <c r="O46" s="243"/>
      <c r="P46" s="244"/>
      <c r="Q46" s="244"/>
      <c r="R46" s="244"/>
      <c r="S46" s="243"/>
      <c r="T46" s="243"/>
      <c r="U46" s="244"/>
      <c r="V46" s="244"/>
      <c r="W46" s="241"/>
      <c r="X46" s="234">
        <v>15</v>
      </c>
      <c r="Y46" s="234">
        <v>150</v>
      </c>
      <c r="Z46" s="235">
        <v>1.2</v>
      </c>
      <c r="AA46" s="246"/>
      <c r="AB46" s="247"/>
      <c r="AC46" s="247"/>
      <c r="AD46" s="248"/>
      <c r="AE46" s="234"/>
      <c r="AF46" s="245">
        <f t="shared" si="24"/>
        <v>52.490086778435952</v>
      </c>
      <c r="AG46" s="245">
        <f t="shared" si="8"/>
        <v>9.52</v>
      </c>
      <c r="AH46" s="245">
        <f t="shared" si="26"/>
        <v>9.3015130167653925</v>
      </c>
      <c r="AI46" s="245">
        <f t="shared" si="25"/>
        <v>71.311599795201346</v>
      </c>
      <c r="AJ46" s="233"/>
      <c r="AK46" s="233"/>
      <c r="AL46" s="233"/>
      <c r="AM46" s="233"/>
      <c r="AN46" s="245"/>
      <c r="AO46" s="245"/>
      <c r="AP46" s="234"/>
      <c r="AQ46" s="232"/>
    </row>
    <row r="47" spans="1:43" s="231" customFormat="1" ht="15.75" customHeight="1" thickBot="1" x14ac:dyDescent="0.3">
      <c r="A47" s="265" t="str">
        <f t="shared" si="28"/>
        <v xml:space="preserve">Harvesting_Grain Grain_Dryer 710-910 bu/hr </v>
      </c>
      <c r="B47" s="260" t="s">
        <v>280</v>
      </c>
      <c r="C47" s="261" t="s">
        <v>815</v>
      </c>
      <c r="D47" s="261" t="s">
        <v>818</v>
      </c>
      <c r="E47" s="261" t="s">
        <v>818</v>
      </c>
      <c r="F47" s="256">
        <v>144000</v>
      </c>
      <c r="G47" s="240">
        <v>144000</v>
      </c>
      <c r="H47" s="236"/>
      <c r="I47" s="243"/>
      <c r="J47" s="243"/>
      <c r="K47" s="236"/>
      <c r="L47" s="244"/>
      <c r="M47" s="244"/>
      <c r="N47" s="243"/>
      <c r="O47" s="243"/>
      <c r="P47" s="244"/>
      <c r="Q47" s="244"/>
      <c r="R47" s="244"/>
      <c r="S47" s="243"/>
      <c r="T47" s="243"/>
      <c r="U47" s="244"/>
      <c r="V47" s="244"/>
      <c r="W47" s="241"/>
      <c r="X47" s="234">
        <v>15</v>
      </c>
      <c r="Y47" s="234">
        <v>150</v>
      </c>
      <c r="Z47" s="235">
        <v>1.2</v>
      </c>
      <c r="AA47" s="246"/>
      <c r="AB47" s="247"/>
      <c r="AC47" s="247"/>
      <c r="AD47" s="248"/>
      <c r="AE47" s="234"/>
      <c r="AF47" s="245">
        <f t="shared" si="24"/>
        <v>63.517415933569559</v>
      </c>
      <c r="AG47" s="245">
        <f t="shared" si="8"/>
        <v>11.52</v>
      </c>
      <c r="AH47" s="245">
        <f t="shared" si="26"/>
        <v>11.255612390035434</v>
      </c>
      <c r="AI47" s="245">
        <f t="shared" si="25"/>
        <v>86.293028323605</v>
      </c>
      <c r="AJ47" s="233"/>
      <c r="AK47" s="233"/>
      <c r="AL47" s="233"/>
      <c r="AM47" s="233"/>
      <c r="AN47" s="245"/>
      <c r="AO47" s="245"/>
      <c r="AP47" s="234"/>
      <c r="AQ47" s="232"/>
    </row>
    <row r="48" spans="1:43" s="231" customFormat="1" ht="15.75" customHeight="1" thickBot="1" x14ac:dyDescent="0.3">
      <c r="A48" s="265" t="str">
        <f t="shared" si="28"/>
        <v>Harvesting_Grain Grain_Dryer 1060-1180 bu/hr</v>
      </c>
      <c r="B48" s="260" t="s">
        <v>280</v>
      </c>
      <c r="C48" s="261" t="s">
        <v>815</v>
      </c>
      <c r="D48" s="261" t="s">
        <v>819</v>
      </c>
      <c r="E48" s="261" t="s">
        <v>819</v>
      </c>
      <c r="F48" s="256">
        <v>234000</v>
      </c>
      <c r="G48" s="240">
        <v>234000</v>
      </c>
      <c r="H48" s="236"/>
      <c r="I48" s="243"/>
      <c r="J48" s="243"/>
      <c r="K48" s="236"/>
      <c r="L48" s="244"/>
      <c r="M48" s="244"/>
      <c r="N48" s="243"/>
      <c r="O48" s="243"/>
      <c r="P48" s="244"/>
      <c r="Q48" s="244"/>
      <c r="R48" s="244"/>
      <c r="S48" s="243"/>
      <c r="T48" s="243"/>
      <c r="U48" s="244"/>
      <c r="V48" s="244"/>
      <c r="W48" s="241"/>
      <c r="X48" s="234">
        <v>15</v>
      </c>
      <c r="Y48" s="234">
        <v>150</v>
      </c>
      <c r="Z48" s="235">
        <v>1.2</v>
      </c>
      <c r="AA48" s="246"/>
      <c r="AB48" s="247"/>
      <c r="AC48" s="247"/>
      <c r="AD48" s="248"/>
      <c r="AE48" s="234"/>
      <c r="AF48" s="245">
        <f t="shared" si="24"/>
        <v>103.21580089205055</v>
      </c>
      <c r="AG48" s="245">
        <f t="shared" si="8"/>
        <v>18.72</v>
      </c>
      <c r="AH48" s="245">
        <f t="shared" si="26"/>
        <v>18.290370133807581</v>
      </c>
      <c r="AI48" s="245">
        <f t="shared" si="25"/>
        <v>140.22617102585812</v>
      </c>
      <c r="AJ48" s="233"/>
      <c r="AK48" s="233"/>
      <c r="AL48" s="233"/>
      <c r="AM48" s="233"/>
      <c r="AN48" s="245"/>
      <c r="AO48" s="245"/>
      <c r="AP48" s="234"/>
      <c r="AQ48" s="232"/>
    </row>
    <row r="49" spans="1:43" s="231" customFormat="1" ht="15.75" customHeight="1" thickBot="1" x14ac:dyDescent="0.3">
      <c r="A49" s="265" t="str">
        <f t="shared" si="28"/>
        <v>Harvesting_Grain Grain_Dryer 1440-2380 bu/hr</v>
      </c>
      <c r="B49" s="260" t="s">
        <v>280</v>
      </c>
      <c r="C49" s="261" t="s">
        <v>815</v>
      </c>
      <c r="D49" s="261" t="s">
        <v>820</v>
      </c>
      <c r="E49" s="261" t="s">
        <v>820</v>
      </c>
      <c r="F49" s="256">
        <v>288000</v>
      </c>
      <c r="G49" s="240">
        <v>288000</v>
      </c>
      <c r="H49" s="236"/>
      <c r="I49" s="243"/>
      <c r="J49" s="243"/>
      <c r="K49" s="236"/>
      <c r="L49" s="244"/>
      <c r="M49" s="244"/>
      <c r="N49" s="243"/>
      <c r="O49" s="243"/>
      <c r="P49" s="244"/>
      <c r="Q49" s="244"/>
      <c r="R49" s="244"/>
      <c r="S49" s="243"/>
      <c r="T49" s="243"/>
      <c r="U49" s="244"/>
      <c r="V49" s="244"/>
      <c r="W49" s="241"/>
      <c r="X49" s="234">
        <v>15</v>
      </c>
      <c r="Y49" s="234">
        <v>150</v>
      </c>
      <c r="Z49" s="235">
        <v>1.2</v>
      </c>
      <c r="AA49" s="246"/>
      <c r="AB49" s="247"/>
      <c r="AC49" s="247"/>
      <c r="AD49" s="248"/>
      <c r="AE49" s="234"/>
      <c r="AF49" s="245">
        <f>(F49*Fraction_dep_over_optimal_life/X49/Y49)+IF(Machinery_Financed_percentage=0,0,(-CUMIPMT(Interest_Rate/2,Payback_loan_period_years*2,F49*Machinery_Financed_percentage,1,Payback_loan_period_years*2,0)/X49/Y49))+((F49*(1-Machinery_Financed_percentage)*(1+Opportunity_Rate/12)^(Opp_inv_period_years*12)-(F49*(1-Machinery_Financed_percentage)))/X49/Y49)+(Insurance_and_Housing*F49/Y49)</f>
        <v>127.03483186713912</v>
      </c>
      <c r="AG49" s="245">
        <f t="shared" si="8"/>
        <v>23.04</v>
      </c>
      <c r="AH49" s="245">
        <f t="shared" si="26"/>
        <v>22.511224780070869</v>
      </c>
      <c r="AI49" s="245">
        <f t="shared" si="25"/>
        <v>172.58605664721</v>
      </c>
      <c r="AJ49" s="233"/>
      <c r="AK49" s="233"/>
      <c r="AL49" s="233"/>
      <c r="AM49" s="233"/>
      <c r="AN49" s="245"/>
      <c r="AO49" s="245"/>
      <c r="AP49" s="234"/>
      <c r="AQ49" s="232"/>
    </row>
    <row r="50" spans="1:43" s="231" customFormat="1" ht="15.75" customHeight="1" thickBot="1" x14ac:dyDescent="0.3">
      <c r="A50" s="265" t="str">
        <f>B50&amp;" "&amp;C50&amp;" "&amp;D50</f>
        <v>Harvesting_Grain Grain_Dryer 3000-4000 bu/hr</v>
      </c>
      <c r="B50" s="260" t="s">
        <v>280</v>
      </c>
      <c r="C50" s="261" t="s">
        <v>815</v>
      </c>
      <c r="D50" s="261" t="s">
        <v>821</v>
      </c>
      <c r="E50" s="261" t="s">
        <v>821</v>
      </c>
      <c r="F50" s="256">
        <v>446000</v>
      </c>
      <c r="G50" s="240">
        <f t="shared" si="20"/>
        <v>445000</v>
      </c>
      <c r="H50" s="236"/>
      <c r="I50" s="243"/>
      <c r="J50" s="243"/>
      <c r="K50" s="236"/>
      <c r="L50" s="244"/>
      <c r="M50" s="244"/>
      <c r="N50" s="243"/>
      <c r="O50" s="243"/>
      <c r="P50" s="244"/>
      <c r="Q50" s="244"/>
      <c r="R50" s="244"/>
      <c r="S50" s="243"/>
      <c r="T50" s="243"/>
      <c r="U50" s="244"/>
      <c r="V50" s="244"/>
      <c r="W50" s="241"/>
      <c r="X50" s="234">
        <v>15</v>
      </c>
      <c r="Y50" s="234">
        <v>150</v>
      </c>
      <c r="Z50" s="235">
        <v>1.2</v>
      </c>
      <c r="AA50" s="246"/>
      <c r="AB50" s="247"/>
      <c r="AC50" s="247"/>
      <c r="AD50" s="248"/>
      <c r="AE50" s="234"/>
      <c r="AF50" s="245">
        <f t="shared" si="24"/>
        <v>196.72755212758352</v>
      </c>
      <c r="AG50" s="245">
        <f t="shared" si="8"/>
        <v>35.68</v>
      </c>
      <c r="AH50" s="245">
        <f t="shared" si="26"/>
        <v>34.861132819137531</v>
      </c>
      <c r="AI50" s="245">
        <f t="shared" si="25"/>
        <v>267.26868494672107</v>
      </c>
      <c r="AJ50" s="233"/>
      <c r="AK50" s="233"/>
      <c r="AL50" s="233"/>
      <c r="AM50" s="233"/>
      <c r="AN50" s="245"/>
      <c r="AO50" s="245"/>
      <c r="AP50" s="234"/>
      <c r="AQ50" s="232"/>
    </row>
    <row r="51" spans="1:43" ht="15.75" customHeight="1" thickBot="1" x14ac:dyDescent="0.3">
      <c r="A51" s="259" t="str">
        <f t="shared" si="6"/>
        <v>Harvesting_Grain Grain_Cart Small (500-1,000 bu, requires 210 hp)</v>
      </c>
      <c r="B51" s="260" t="s">
        <v>280</v>
      </c>
      <c r="C51" s="261" t="s">
        <v>288</v>
      </c>
      <c r="D51" s="261" t="s">
        <v>184</v>
      </c>
      <c r="E51" s="262" t="s">
        <v>49</v>
      </c>
      <c r="F51" s="256">
        <v>90500</v>
      </c>
      <c r="G51" s="48">
        <f t="shared" si="20"/>
        <v>90000</v>
      </c>
      <c r="H51" s="11"/>
      <c r="I51" s="60" t="s">
        <v>467</v>
      </c>
      <c r="J51" s="60" t="s">
        <v>468</v>
      </c>
      <c r="K51" s="61"/>
      <c r="L51" s="61"/>
      <c r="M51" s="61"/>
      <c r="N51" s="60"/>
      <c r="O51" s="60"/>
      <c r="P51" s="61"/>
      <c r="Q51" s="61"/>
      <c r="R51" s="61"/>
      <c r="S51" s="60"/>
      <c r="T51" s="60"/>
      <c r="U51" s="61"/>
      <c r="V51" s="61"/>
      <c r="W51" s="11"/>
      <c r="X51" s="8">
        <v>20</v>
      </c>
      <c r="Y51" s="8">
        <v>250</v>
      </c>
      <c r="Z51" s="9">
        <v>2</v>
      </c>
      <c r="AA51" s="96"/>
      <c r="AD51" s="8"/>
      <c r="AE51" s="8"/>
      <c r="AF51" s="95">
        <f t="shared" si="24"/>
        <v>18.868519193712647</v>
      </c>
      <c r="AG51" s="95">
        <f t="shared" si="8"/>
        <v>7.24</v>
      </c>
      <c r="AH51" s="95">
        <f t="shared" si="26"/>
        <v>3.9162778790568966</v>
      </c>
      <c r="AI51" s="95">
        <f t="shared" ref="AI51" si="29">AF51+AG51+AH51</f>
        <v>30.024797072769541</v>
      </c>
      <c r="AJ51" s="7"/>
      <c r="AK51" s="7"/>
      <c r="AL51" s="7"/>
      <c r="AM51" s="7">
        <f>AN9</f>
        <v>155.14636807957388</v>
      </c>
      <c r="AN51" s="95">
        <f>AI51+AM51</f>
        <v>185.17116515234341</v>
      </c>
      <c r="AO51" s="95"/>
      <c r="AP51" s="95"/>
    </row>
    <row r="52" spans="1:43" ht="15.75" customHeight="1" thickBot="1" x14ac:dyDescent="0.3">
      <c r="A52" s="259" t="str">
        <f t="shared" si="6"/>
        <v>Harvesting_Grain Grain_Cart Medium (1,050-1,600 bu, requires 300 hp)</v>
      </c>
      <c r="B52" s="260" t="s">
        <v>280</v>
      </c>
      <c r="C52" s="261" t="s">
        <v>288</v>
      </c>
      <c r="D52" s="261" t="s">
        <v>185</v>
      </c>
      <c r="E52" s="264" t="s">
        <v>50</v>
      </c>
      <c r="F52" s="256">
        <v>144900</v>
      </c>
      <c r="G52" s="48">
        <f t="shared" si="20"/>
        <v>145000</v>
      </c>
      <c r="H52" s="63"/>
      <c r="I52" s="64" t="s">
        <v>467</v>
      </c>
      <c r="J52" s="64" t="s">
        <v>469</v>
      </c>
      <c r="K52" s="65"/>
      <c r="L52" s="65"/>
      <c r="M52" s="65"/>
      <c r="N52" s="64" t="s">
        <v>470</v>
      </c>
      <c r="O52" s="64" t="s">
        <v>471</v>
      </c>
      <c r="P52" s="65"/>
      <c r="Q52" s="65"/>
      <c r="R52" s="65"/>
      <c r="S52" s="64" t="s">
        <v>472</v>
      </c>
      <c r="T52" s="64" t="s">
        <v>473</v>
      </c>
      <c r="U52" s="65"/>
      <c r="V52" s="65"/>
      <c r="W52" s="63"/>
      <c r="X52" s="8">
        <v>20</v>
      </c>
      <c r="Y52" s="8">
        <v>250</v>
      </c>
      <c r="Z52" s="9">
        <v>2</v>
      </c>
      <c r="AA52" s="96"/>
      <c r="AD52" s="8"/>
      <c r="AE52" s="8"/>
      <c r="AF52" s="95">
        <f t="shared" si="24"/>
        <v>30.210479902419472</v>
      </c>
      <c r="AG52" s="95">
        <f t="shared" si="8"/>
        <v>11.592000000000001</v>
      </c>
      <c r="AH52" s="95">
        <f t="shared" si="26"/>
        <v>6.2703719853629201</v>
      </c>
      <c r="AI52" s="95">
        <f t="shared" ref="AI52:AI53" si="30">AF52+AG52+AH52</f>
        <v>48.072851887782392</v>
      </c>
      <c r="AJ52" s="7"/>
      <c r="AK52" s="7"/>
      <c r="AL52" s="7"/>
      <c r="AM52" s="7">
        <f>AN10</f>
        <v>209.41102576780244</v>
      </c>
      <c r="AN52" s="95">
        <f>AI52+AM52</f>
        <v>257.48387765558482</v>
      </c>
      <c r="AO52" s="95"/>
      <c r="AP52" s="95"/>
    </row>
    <row r="53" spans="1:43" ht="15.75" customHeight="1" thickBot="1" x14ac:dyDescent="0.3">
      <c r="A53" s="259" t="str">
        <f t="shared" si="6"/>
        <v>Harvesting_Grain Grain_Cart Large (2,000 bu, requires 460 hp)</v>
      </c>
      <c r="B53" s="260" t="s">
        <v>280</v>
      </c>
      <c r="C53" s="261" t="s">
        <v>288</v>
      </c>
      <c r="D53" s="261" t="s">
        <v>186</v>
      </c>
      <c r="E53" s="263" t="s">
        <v>51</v>
      </c>
      <c r="F53" s="256">
        <v>218800</v>
      </c>
      <c r="G53" s="48">
        <f t="shared" si="20"/>
        <v>220000</v>
      </c>
      <c r="H53" s="66"/>
      <c r="I53" s="67" t="s">
        <v>472</v>
      </c>
      <c r="J53" s="67" t="s">
        <v>474</v>
      </c>
      <c r="K53" s="68"/>
      <c r="L53" s="68"/>
      <c r="M53" s="68"/>
      <c r="N53" s="67" t="s">
        <v>470</v>
      </c>
      <c r="O53" s="67" t="s">
        <v>475</v>
      </c>
      <c r="P53" s="68"/>
      <c r="Q53" s="68"/>
      <c r="R53" s="68"/>
      <c r="S53" s="67"/>
      <c r="T53" s="67"/>
      <c r="U53" s="68"/>
      <c r="V53" s="68"/>
      <c r="W53" s="66"/>
      <c r="X53" s="8">
        <v>20</v>
      </c>
      <c r="Y53" s="8">
        <v>250</v>
      </c>
      <c r="Z53" s="9">
        <v>2</v>
      </c>
      <c r="AA53" s="96"/>
      <c r="AD53" s="8"/>
      <c r="AE53" s="8"/>
      <c r="AF53" s="95">
        <f t="shared" si="24"/>
        <v>45.618033144578192</v>
      </c>
      <c r="AG53" s="95">
        <f t="shared" si="8"/>
        <v>17.504000000000001</v>
      </c>
      <c r="AH53" s="95">
        <f t="shared" si="26"/>
        <v>9.4683049716867291</v>
      </c>
      <c r="AI53" s="95">
        <f t="shared" si="30"/>
        <v>72.590338116264931</v>
      </c>
      <c r="AJ53" s="7"/>
      <c r="AK53" s="7"/>
      <c r="AL53" s="7"/>
      <c r="AM53" s="7">
        <f>AN12</f>
        <v>277.06836188932402</v>
      </c>
      <c r="AN53" s="95">
        <f>AI53+AM53</f>
        <v>349.65870000558897</v>
      </c>
      <c r="AO53" s="95"/>
      <c r="AP53" s="95"/>
    </row>
    <row r="54" spans="1:43" ht="15.75" customHeight="1" thickBot="1" x14ac:dyDescent="0.3">
      <c r="A54" s="259" t="str">
        <f t="shared" si="6"/>
        <v>Harvesting_Grain Powered_Auger 8 in. (30-39 ft, 20 hp engine)</v>
      </c>
      <c r="B54" s="260" t="s">
        <v>280</v>
      </c>
      <c r="C54" s="261" t="s">
        <v>289</v>
      </c>
      <c r="D54" s="261" t="s">
        <v>188</v>
      </c>
      <c r="E54" s="262" t="s">
        <v>75</v>
      </c>
      <c r="F54" s="256">
        <v>21000</v>
      </c>
      <c r="G54" s="59">
        <f>ROUND(F54,-3)</f>
        <v>21000</v>
      </c>
      <c r="H54" s="11"/>
      <c r="I54" s="60" t="s">
        <v>476</v>
      </c>
      <c r="J54" s="60" t="s">
        <v>477</v>
      </c>
      <c r="K54" s="61"/>
      <c r="L54" s="61"/>
      <c r="M54" s="61"/>
      <c r="N54" s="60"/>
      <c r="O54" s="60"/>
      <c r="P54" s="61"/>
      <c r="Q54" s="61"/>
      <c r="R54" s="61"/>
      <c r="S54" s="60"/>
      <c r="T54" s="60"/>
      <c r="U54" s="61"/>
      <c r="V54" s="61"/>
      <c r="W54" s="11"/>
      <c r="X54" s="8">
        <v>20</v>
      </c>
      <c r="Y54" s="8">
        <v>100</v>
      </c>
      <c r="Z54" s="9">
        <v>1.5</v>
      </c>
      <c r="AA54" s="96"/>
      <c r="AD54" s="8"/>
      <c r="AE54" s="8"/>
      <c r="AF54" s="95">
        <f t="shared" si="24"/>
        <v>10.945826051601257</v>
      </c>
      <c r="AG54" s="95">
        <f t="shared" si="8"/>
        <v>3.15</v>
      </c>
      <c r="AH54" s="95">
        <f t="shared" si="26"/>
        <v>2.1143739077401884</v>
      </c>
      <c r="AI54" s="95">
        <f t="shared" ref="AI54" si="31">AF54+AG54+AH54</f>
        <v>16.210199959341445</v>
      </c>
      <c r="AJ54" s="7"/>
      <c r="AK54" s="7"/>
      <c r="AL54" s="7"/>
      <c r="AM54" s="7"/>
      <c r="AN54" s="95"/>
      <c r="AO54" s="95"/>
      <c r="AP54" s="95"/>
    </row>
    <row r="55" spans="1:43" ht="15.75" customHeight="1" thickBot="1" x14ac:dyDescent="0.3">
      <c r="A55" s="259" t="str">
        <f t="shared" si="6"/>
        <v>Harvesting_Grain Powered_Auger 8 in. (40-49 ft, 20 hp engine)</v>
      </c>
      <c r="B55" s="260" t="s">
        <v>280</v>
      </c>
      <c r="C55" s="261" t="s">
        <v>289</v>
      </c>
      <c r="D55" s="261" t="s">
        <v>187</v>
      </c>
      <c r="E55" s="264" t="s">
        <v>76</v>
      </c>
      <c r="F55" s="256">
        <v>21000</v>
      </c>
      <c r="G55" s="59">
        <f t="shared" ref="G55:G58" si="32">ROUND(F55,-3)</f>
        <v>21000</v>
      </c>
      <c r="H55" s="63"/>
      <c r="I55" s="64" t="s">
        <v>478</v>
      </c>
      <c r="J55" s="64" t="s">
        <v>479</v>
      </c>
      <c r="K55" s="65"/>
      <c r="L55" s="65"/>
      <c r="M55" s="65"/>
      <c r="N55" s="64"/>
      <c r="O55" s="64"/>
      <c r="P55" s="65"/>
      <c r="Q55" s="65"/>
      <c r="R55" s="65"/>
      <c r="S55" s="64"/>
      <c r="T55" s="64"/>
      <c r="U55" s="65"/>
      <c r="V55" s="65"/>
      <c r="W55" s="63"/>
      <c r="X55" s="8">
        <v>20</v>
      </c>
      <c r="Y55" s="8">
        <v>100</v>
      </c>
      <c r="Z55" s="9">
        <v>1.5</v>
      </c>
      <c r="AA55" s="96"/>
      <c r="AD55" s="8"/>
      <c r="AE55" s="8"/>
      <c r="AF55" s="95">
        <f t="shared" si="24"/>
        <v>10.945826051601257</v>
      </c>
      <c r="AG55" s="95">
        <f t="shared" si="8"/>
        <v>3.15</v>
      </c>
      <c r="AH55" s="95">
        <f t="shared" si="26"/>
        <v>2.1143739077401884</v>
      </c>
      <c r="AI55" s="95">
        <f t="shared" ref="AI55:AI60" si="33">AF55+AG55+AH55</f>
        <v>16.210199959341445</v>
      </c>
      <c r="AJ55" s="7"/>
      <c r="AK55" s="7"/>
      <c r="AL55" s="7"/>
      <c r="AM55" s="7"/>
      <c r="AN55" s="95"/>
      <c r="AO55" s="95"/>
      <c r="AP55" s="95"/>
    </row>
    <row r="56" spans="1:43" ht="15.75" customHeight="1" thickBot="1" x14ac:dyDescent="0.3">
      <c r="A56" s="259" t="str">
        <f t="shared" si="6"/>
        <v>Harvesting_Grain Powered_Auger 8 in. (50-59 ft, 25 hp engine)</v>
      </c>
      <c r="B56" s="260" t="s">
        <v>280</v>
      </c>
      <c r="C56" s="261" t="s">
        <v>289</v>
      </c>
      <c r="D56" s="261" t="s">
        <v>189</v>
      </c>
      <c r="E56" s="264" t="s">
        <v>77</v>
      </c>
      <c r="F56" s="256">
        <v>21000</v>
      </c>
      <c r="G56" s="59">
        <f t="shared" si="32"/>
        <v>21000</v>
      </c>
      <c r="H56" s="63"/>
      <c r="I56" s="64" t="s">
        <v>476</v>
      </c>
      <c r="J56" s="64" t="s">
        <v>480</v>
      </c>
      <c r="K56" s="65"/>
      <c r="L56" s="65"/>
      <c r="M56" s="65"/>
      <c r="N56" s="64" t="s">
        <v>478</v>
      </c>
      <c r="O56" s="64" t="s">
        <v>481</v>
      </c>
      <c r="P56" s="65"/>
      <c r="Q56" s="65"/>
      <c r="R56" s="65"/>
      <c r="S56" s="64"/>
      <c r="T56" s="64"/>
      <c r="U56" s="65"/>
      <c r="V56" s="65"/>
      <c r="W56" s="63"/>
      <c r="X56" s="8">
        <v>20</v>
      </c>
      <c r="Y56" s="8">
        <v>100</v>
      </c>
      <c r="Z56" s="9">
        <v>1.5</v>
      </c>
      <c r="AA56" s="96"/>
      <c r="AD56" s="8"/>
      <c r="AE56" s="8"/>
      <c r="AF56" s="95">
        <f t="shared" si="24"/>
        <v>10.945826051601257</v>
      </c>
      <c r="AG56" s="95">
        <f t="shared" si="8"/>
        <v>3.15</v>
      </c>
      <c r="AH56" s="95">
        <f t="shared" si="26"/>
        <v>2.1143739077401884</v>
      </c>
      <c r="AI56" s="95">
        <f t="shared" si="33"/>
        <v>16.210199959341445</v>
      </c>
      <c r="AJ56" s="7"/>
      <c r="AK56" s="7"/>
      <c r="AL56" s="7"/>
      <c r="AM56" s="7"/>
      <c r="AN56" s="95"/>
      <c r="AO56" s="95"/>
      <c r="AP56" s="95"/>
    </row>
    <row r="57" spans="1:43" ht="15.75" customHeight="1" thickBot="1" x14ac:dyDescent="0.3">
      <c r="A57" s="259" t="str">
        <f t="shared" si="6"/>
        <v>Harvesting_Grain Powered_Auger 10 in. (40-49 FT, 35 hp engine)</v>
      </c>
      <c r="B57" s="260" t="s">
        <v>280</v>
      </c>
      <c r="C57" s="261" t="s">
        <v>289</v>
      </c>
      <c r="D57" s="261" t="s">
        <v>190</v>
      </c>
      <c r="E57" s="264" t="s">
        <v>78</v>
      </c>
      <c r="F57" s="256">
        <v>25500</v>
      </c>
      <c r="G57" s="59">
        <f t="shared" si="32"/>
        <v>26000</v>
      </c>
      <c r="H57" s="63"/>
      <c r="I57" s="64" t="s">
        <v>476</v>
      </c>
      <c r="J57" s="64" t="s">
        <v>482</v>
      </c>
      <c r="K57" s="65"/>
      <c r="L57" s="65"/>
      <c r="M57" s="65"/>
      <c r="N57" s="64" t="s">
        <v>483</v>
      </c>
      <c r="O57" s="64" t="s">
        <v>484</v>
      </c>
      <c r="P57" s="65"/>
      <c r="Q57" s="65"/>
      <c r="R57" s="65"/>
      <c r="S57" s="64" t="s">
        <v>485</v>
      </c>
      <c r="T57" s="64" t="s">
        <v>486</v>
      </c>
      <c r="U57" s="65"/>
      <c r="V57" s="65"/>
      <c r="W57" s="63"/>
      <c r="X57" s="8">
        <v>20</v>
      </c>
      <c r="Y57" s="8">
        <v>100</v>
      </c>
      <c r="Z57" s="9">
        <v>1.5</v>
      </c>
      <c r="AA57" s="96"/>
      <c r="AD57" s="8"/>
      <c r="AE57" s="8"/>
      <c r="AF57" s="95">
        <f t="shared" si="24"/>
        <v>13.291360205515808</v>
      </c>
      <c r="AG57" s="95">
        <f t="shared" si="8"/>
        <v>3.8250000000000002</v>
      </c>
      <c r="AH57" s="95">
        <f t="shared" si="26"/>
        <v>2.567454030827371</v>
      </c>
      <c r="AI57" s="95">
        <f t="shared" si="33"/>
        <v>19.683814236343178</v>
      </c>
      <c r="AJ57" s="7"/>
      <c r="AK57" s="7"/>
      <c r="AL57" s="7"/>
      <c r="AM57" s="7"/>
      <c r="AN57" s="95"/>
      <c r="AO57" s="95"/>
      <c r="AP57" s="95"/>
    </row>
    <row r="58" spans="1:43" ht="15.75" customHeight="1" thickBot="1" x14ac:dyDescent="0.3">
      <c r="A58" s="259" t="str">
        <f t="shared" si="6"/>
        <v>Harvesting_Grain Powered_Auger 10 in. (50-59 FT, 38 hp engine)</v>
      </c>
      <c r="B58" s="260" t="s">
        <v>280</v>
      </c>
      <c r="C58" s="261" t="s">
        <v>289</v>
      </c>
      <c r="D58" s="261" t="s">
        <v>191</v>
      </c>
      <c r="E58" s="264" t="s">
        <v>79</v>
      </c>
      <c r="F58" s="256">
        <v>28100</v>
      </c>
      <c r="G58" s="59">
        <f t="shared" si="32"/>
        <v>28000</v>
      </c>
      <c r="H58" s="63"/>
      <c r="I58" s="64" t="s">
        <v>476</v>
      </c>
      <c r="J58" s="64" t="s">
        <v>487</v>
      </c>
      <c r="K58" s="65"/>
      <c r="L58" s="65"/>
      <c r="M58" s="65"/>
      <c r="N58" s="64" t="s">
        <v>483</v>
      </c>
      <c r="O58" s="64" t="s">
        <v>488</v>
      </c>
      <c r="P58" s="65"/>
      <c r="Q58" s="65"/>
      <c r="R58" s="65"/>
      <c r="S58" s="64" t="s">
        <v>485</v>
      </c>
      <c r="T58" s="64" t="s">
        <v>489</v>
      </c>
      <c r="U58" s="65"/>
      <c r="V58" s="65"/>
      <c r="W58" s="63"/>
      <c r="X58" s="8">
        <v>20</v>
      </c>
      <c r="Y58" s="8">
        <v>100</v>
      </c>
      <c r="Z58" s="9">
        <v>1.5</v>
      </c>
      <c r="AA58" s="96"/>
      <c r="AD58" s="8"/>
      <c r="AE58" s="8"/>
      <c r="AF58" s="95">
        <f t="shared" si="24"/>
        <v>14.646557716666441</v>
      </c>
      <c r="AG58" s="95">
        <f t="shared" si="8"/>
        <v>4.2149999999999999</v>
      </c>
      <c r="AH58" s="95">
        <f t="shared" si="26"/>
        <v>2.8292336574999659</v>
      </c>
      <c r="AI58" s="95">
        <f t="shared" si="33"/>
        <v>21.690791374166405</v>
      </c>
      <c r="AJ58" s="7"/>
      <c r="AK58" s="7"/>
      <c r="AL58" s="7"/>
      <c r="AM58" s="7"/>
      <c r="AN58" s="95"/>
      <c r="AO58" s="95"/>
      <c r="AP58" s="95"/>
    </row>
    <row r="59" spans="1:43" ht="15.75" customHeight="1" thickBot="1" x14ac:dyDescent="0.3">
      <c r="A59" s="259" t="str">
        <f t="shared" si="6"/>
        <v>Harvesting_Grain Powered_Auger 12-13 in. (39-40 FT, 38-50 hp diesel engine)</v>
      </c>
      <c r="B59" s="260" t="s">
        <v>280</v>
      </c>
      <c r="C59" s="261" t="s">
        <v>289</v>
      </c>
      <c r="D59" s="261" t="s">
        <v>192</v>
      </c>
      <c r="E59" s="264" t="s">
        <v>80</v>
      </c>
      <c r="F59" s="256">
        <v>37000</v>
      </c>
      <c r="G59" s="59">
        <f>ROUND(F59,-3)</f>
        <v>37000</v>
      </c>
      <c r="H59" s="69"/>
      <c r="I59" s="67" t="s">
        <v>490</v>
      </c>
      <c r="J59" s="67" t="s">
        <v>491</v>
      </c>
      <c r="K59" s="68"/>
      <c r="L59" s="68"/>
      <c r="M59" s="68"/>
      <c r="N59" s="67"/>
      <c r="O59" s="67"/>
      <c r="P59" s="68"/>
      <c r="Q59" s="68"/>
      <c r="R59" s="68"/>
      <c r="S59" s="67"/>
      <c r="T59" s="67"/>
      <c r="U59" s="68"/>
      <c r="V59" s="68"/>
      <c r="W59" s="66"/>
      <c r="X59" s="8">
        <v>20</v>
      </c>
      <c r="Y59" s="8">
        <v>100</v>
      </c>
      <c r="Z59" s="9">
        <v>1.5</v>
      </c>
      <c r="AA59" s="96"/>
      <c r="AD59" s="8"/>
      <c r="AE59" s="8"/>
      <c r="AF59" s="95">
        <f t="shared" si="24"/>
        <v>19.285503043297453</v>
      </c>
      <c r="AG59" s="95">
        <f t="shared" si="8"/>
        <v>5.55</v>
      </c>
      <c r="AH59" s="95">
        <f t="shared" si="26"/>
        <v>3.7253254564946179</v>
      </c>
      <c r="AI59" s="95">
        <f t="shared" si="33"/>
        <v>28.560828499792073</v>
      </c>
      <c r="AJ59" s="7"/>
      <c r="AK59" s="7"/>
      <c r="AL59" s="7"/>
      <c r="AM59" s="7"/>
      <c r="AN59" s="95"/>
      <c r="AO59" s="95"/>
      <c r="AP59" s="95"/>
    </row>
    <row r="60" spans="1:43" ht="15.75" customHeight="1" thickBot="1" x14ac:dyDescent="0.3">
      <c r="A60" s="259" t="str">
        <f t="shared" si="6"/>
        <v>Harvesting_Grain PTO_Grain_Auger 8 in. (30-69 ft, 2,700-3,200 bu/hr, requires 50 hp)</v>
      </c>
      <c r="B60" s="260" t="s">
        <v>280</v>
      </c>
      <c r="C60" s="261" t="s">
        <v>290</v>
      </c>
      <c r="D60" s="261" t="s">
        <v>193</v>
      </c>
      <c r="E60" s="262" t="s">
        <v>81</v>
      </c>
      <c r="F60" s="256">
        <v>7600</v>
      </c>
      <c r="G60" s="70">
        <f t="shared" ref="G60" si="34">ROUND(F60,-2)</f>
        <v>7600</v>
      </c>
      <c r="H60" s="11"/>
      <c r="I60" s="60" t="s">
        <v>492</v>
      </c>
      <c r="J60" s="60" t="s">
        <v>493</v>
      </c>
      <c r="K60" s="61"/>
      <c r="L60" s="61"/>
      <c r="M60" s="61"/>
      <c r="N60" s="60"/>
      <c r="O60" s="60"/>
      <c r="P60" s="61"/>
      <c r="Q60" s="61"/>
      <c r="R60" s="61"/>
      <c r="S60" s="60"/>
      <c r="T60" s="60"/>
      <c r="U60" s="61"/>
      <c r="V60" s="61"/>
      <c r="W60" s="11"/>
      <c r="X60" s="8">
        <v>20</v>
      </c>
      <c r="Y60" s="8">
        <v>100</v>
      </c>
      <c r="Z60" s="9">
        <v>1</v>
      </c>
      <c r="AA60" s="96"/>
      <c r="AD60" s="8"/>
      <c r="AE60" s="8"/>
      <c r="AF60" s="95">
        <f t="shared" si="24"/>
        <v>3.9613465710556932</v>
      </c>
      <c r="AG60" s="95">
        <f t="shared" si="8"/>
        <v>0.76</v>
      </c>
      <c r="AH60" s="95">
        <f t="shared" si="26"/>
        <v>0.70820198565835391</v>
      </c>
      <c r="AI60" s="95">
        <f t="shared" si="33"/>
        <v>5.4295485567140469</v>
      </c>
      <c r="AJ60" s="7"/>
      <c r="AK60" s="7"/>
      <c r="AL60" s="7"/>
      <c r="AM60" s="7">
        <f>AN8</f>
        <v>124.35989319840716</v>
      </c>
      <c r="AN60" s="95">
        <f t="shared" ref="AN60:AN66" si="35">AI60+AM60</f>
        <v>129.7894417551212</v>
      </c>
      <c r="AO60" s="95"/>
      <c r="AP60" s="95"/>
    </row>
    <row r="61" spans="1:43" ht="15.75" customHeight="1" thickBot="1" x14ac:dyDescent="0.3">
      <c r="A61" s="259" t="str">
        <f t="shared" si="6"/>
        <v>Harvesting_Grain PTO_Grain_Auger 10 in. (40-89 ft, 5,400 bu/hr, requires 75 hp)</v>
      </c>
      <c r="B61" s="260" t="s">
        <v>280</v>
      </c>
      <c r="C61" s="261" t="s">
        <v>290</v>
      </c>
      <c r="D61" s="261" t="s">
        <v>194</v>
      </c>
      <c r="E61" s="264" t="s">
        <v>82</v>
      </c>
      <c r="F61" s="256">
        <v>17700</v>
      </c>
      <c r="G61" s="59">
        <f>ROUND(F61,-3)</f>
        <v>18000</v>
      </c>
      <c r="H61" s="63"/>
      <c r="I61" s="64" t="s">
        <v>494</v>
      </c>
      <c r="J61" s="64" t="s">
        <v>495</v>
      </c>
      <c r="K61" s="65"/>
      <c r="L61" s="65"/>
      <c r="M61" s="65"/>
      <c r="N61" s="64" t="s">
        <v>492</v>
      </c>
      <c r="O61" s="64" t="s">
        <v>496</v>
      </c>
      <c r="P61" s="65"/>
      <c r="Q61" s="65"/>
      <c r="R61" s="65"/>
      <c r="S61" s="64" t="s">
        <v>497</v>
      </c>
      <c r="T61" s="64" t="s">
        <v>498</v>
      </c>
      <c r="U61" s="65"/>
      <c r="V61" s="65"/>
      <c r="W61" s="63"/>
      <c r="X61" s="8">
        <v>20</v>
      </c>
      <c r="Y61" s="8">
        <v>100</v>
      </c>
      <c r="Z61" s="9">
        <v>1</v>
      </c>
      <c r="AA61" s="96"/>
      <c r="AD61" s="8"/>
      <c r="AE61" s="8"/>
      <c r="AF61" s="95">
        <f t="shared" si="24"/>
        <v>9.225767672063915</v>
      </c>
      <c r="AG61" s="95">
        <f t="shared" si="8"/>
        <v>1.77</v>
      </c>
      <c r="AH61" s="95">
        <f t="shared" si="26"/>
        <v>1.6493651508095872</v>
      </c>
      <c r="AI61" s="95">
        <f t="shared" ref="AI61:AI64" si="36">AF61+AG61+AH61</f>
        <v>12.645132822873501</v>
      </c>
      <c r="AJ61" s="7"/>
      <c r="AK61" s="7"/>
      <c r="AL61" s="7"/>
      <c r="AM61" s="7">
        <f>AN8</f>
        <v>124.35989319840716</v>
      </c>
      <c r="AN61" s="95">
        <f t="shared" si="35"/>
        <v>137.00502602128066</v>
      </c>
      <c r="AO61" s="95"/>
      <c r="AP61" s="95"/>
    </row>
    <row r="62" spans="1:43" ht="15.75" customHeight="1" thickBot="1" x14ac:dyDescent="0.3">
      <c r="A62" s="259" t="str">
        <f t="shared" si="6"/>
        <v>Harvesting_Grain PTO_Grain_Auger 12 in. (70+ ft, 8,400 bu/hr, requires 75 hp)</v>
      </c>
      <c r="B62" s="260" t="s">
        <v>280</v>
      </c>
      <c r="C62" s="261" t="s">
        <v>290</v>
      </c>
      <c r="D62" s="261" t="s">
        <v>195</v>
      </c>
      <c r="E62" s="264" t="s">
        <v>83</v>
      </c>
      <c r="F62" s="256">
        <v>42900</v>
      </c>
      <c r="G62" s="59">
        <f t="shared" ref="G62:G63" si="37">ROUND(F62,-3)</f>
        <v>43000</v>
      </c>
      <c r="H62" s="63"/>
      <c r="I62" s="64" t="s">
        <v>494</v>
      </c>
      <c r="J62" s="64" t="s">
        <v>499</v>
      </c>
      <c r="K62" s="65"/>
      <c r="L62" s="65"/>
      <c r="M62" s="65"/>
      <c r="N62" s="64" t="s">
        <v>500</v>
      </c>
      <c r="O62" s="64" t="s">
        <v>501</v>
      </c>
      <c r="P62" s="65"/>
      <c r="Q62" s="65"/>
      <c r="R62" s="65"/>
      <c r="S62" s="64" t="s">
        <v>497</v>
      </c>
      <c r="T62" s="64" t="s">
        <v>502</v>
      </c>
      <c r="U62" s="65"/>
      <c r="V62" s="65"/>
      <c r="W62" s="63"/>
      <c r="X62" s="8">
        <v>20</v>
      </c>
      <c r="Y62" s="8">
        <v>100</v>
      </c>
      <c r="Z62" s="9">
        <v>1</v>
      </c>
      <c r="AA62" s="96"/>
      <c r="AD62" s="8"/>
      <c r="AE62" s="8"/>
      <c r="AF62" s="95">
        <f t="shared" si="24"/>
        <v>22.360758933985423</v>
      </c>
      <c r="AG62" s="95">
        <f t="shared" si="8"/>
        <v>4.29</v>
      </c>
      <c r="AH62" s="95">
        <f t="shared" si="26"/>
        <v>3.997613840097813</v>
      </c>
      <c r="AI62" s="95">
        <f t="shared" si="36"/>
        <v>30.648372774083235</v>
      </c>
      <c r="AJ62" s="7"/>
      <c r="AK62" s="7"/>
      <c r="AL62" s="7"/>
      <c r="AM62" s="7">
        <f>AN8</f>
        <v>124.35989319840716</v>
      </c>
      <c r="AN62" s="95">
        <f t="shared" si="35"/>
        <v>155.00826597249039</v>
      </c>
      <c r="AO62" s="95"/>
      <c r="AP62" s="95"/>
    </row>
    <row r="63" spans="1:43" ht="15.75" customHeight="1" thickBot="1" x14ac:dyDescent="0.3">
      <c r="A63" s="259" t="str">
        <f t="shared" si="6"/>
        <v>Harvesting_Grain PTO_Grain_Auger 13 in. (70-120 ft, 9,700 bu/hr, requires 100 hp)</v>
      </c>
      <c r="B63" s="260" t="s">
        <v>280</v>
      </c>
      <c r="C63" s="261" t="s">
        <v>290</v>
      </c>
      <c r="D63" s="261" t="s">
        <v>196</v>
      </c>
      <c r="E63" s="264" t="s">
        <v>84</v>
      </c>
      <c r="F63" s="256">
        <v>49300</v>
      </c>
      <c r="G63" s="59">
        <f t="shared" si="37"/>
        <v>49000</v>
      </c>
      <c r="H63" s="63"/>
      <c r="I63" s="64" t="s">
        <v>492</v>
      </c>
      <c r="J63" s="64" t="s">
        <v>503</v>
      </c>
      <c r="K63" s="65"/>
      <c r="L63" s="65"/>
      <c r="M63" s="65"/>
      <c r="N63" s="64" t="s">
        <v>492</v>
      </c>
      <c r="O63" s="64" t="s">
        <v>504</v>
      </c>
      <c r="P63" s="65"/>
      <c r="Q63" s="65"/>
      <c r="R63" s="65"/>
      <c r="S63" s="64" t="s">
        <v>490</v>
      </c>
      <c r="T63" s="64" t="s">
        <v>505</v>
      </c>
      <c r="U63" s="65"/>
      <c r="V63" s="65"/>
      <c r="W63" s="63"/>
      <c r="X63" s="8">
        <v>20</v>
      </c>
      <c r="Y63" s="8">
        <v>100</v>
      </c>
      <c r="Z63" s="9">
        <v>1</v>
      </c>
      <c r="AA63" s="96"/>
      <c r="AD63" s="8"/>
      <c r="AE63" s="8"/>
      <c r="AF63" s="95">
        <f t="shared" si="24"/>
        <v>25.696629730663904</v>
      </c>
      <c r="AG63" s="95">
        <f t="shared" si="8"/>
        <v>4.93</v>
      </c>
      <c r="AH63" s="95">
        <f t="shared" si="26"/>
        <v>4.5939944595995854</v>
      </c>
      <c r="AI63" s="95">
        <f t="shared" si="36"/>
        <v>35.220624190263493</v>
      </c>
      <c r="AJ63" s="7"/>
      <c r="AK63" s="7"/>
      <c r="AL63" s="7"/>
      <c r="AM63" s="7">
        <f>AN8</f>
        <v>124.35989319840716</v>
      </c>
      <c r="AN63" s="95">
        <f t="shared" si="35"/>
        <v>159.58051738867067</v>
      </c>
      <c r="AO63" s="95"/>
      <c r="AP63" s="95"/>
    </row>
    <row r="64" spans="1:43" ht="15.75" customHeight="1" thickBot="1" x14ac:dyDescent="0.3">
      <c r="A64" s="259" t="str">
        <f t="shared" si="6"/>
        <v>Harvesting_Grain PTO_Grain_Auger 16 in. (80+ ft, 21,000 bu/hr, requires 200 hp)</v>
      </c>
      <c r="B64" s="260" t="s">
        <v>280</v>
      </c>
      <c r="C64" s="261" t="s">
        <v>290</v>
      </c>
      <c r="D64" s="261" t="s">
        <v>197</v>
      </c>
      <c r="E64" s="263" t="s">
        <v>85</v>
      </c>
      <c r="F64" s="256">
        <v>93600</v>
      </c>
      <c r="G64" s="48">
        <f>ROUND(F64/5000,0)*5000</f>
        <v>95000</v>
      </c>
      <c r="H64" s="66"/>
      <c r="I64" s="67" t="s">
        <v>494</v>
      </c>
      <c r="J64" s="67" t="s">
        <v>506</v>
      </c>
      <c r="K64" s="68"/>
      <c r="L64" s="68"/>
      <c r="M64" s="68"/>
      <c r="N64" s="67" t="s">
        <v>492</v>
      </c>
      <c r="O64" s="67" t="s">
        <v>507</v>
      </c>
      <c r="P64" s="68"/>
      <c r="Q64" s="68"/>
      <c r="R64" s="68"/>
      <c r="S64" s="67" t="s">
        <v>497</v>
      </c>
      <c r="T64" s="67" t="s">
        <v>508</v>
      </c>
      <c r="U64" s="68"/>
      <c r="V64" s="68"/>
      <c r="W64" s="66"/>
      <c r="X64" s="8">
        <v>20</v>
      </c>
      <c r="Y64" s="8">
        <v>100</v>
      </c>
      <c r="Z64" s="9">
        <v>1</v>
      </c>
      <c r="AA64" s="96"/>
      <c r="AD64" s="8"/>
      <c r="AE64" s="8"/>
      <c r="AF64" s="95">
        <f t="shared" si="24"/>
        <v>48.787110401422737</v>
      </c>
      <c r="AG64" s="95">
        <f t="shared" si="8"/>
        <v>9.36</v>
      </c>
      <c r="AH64" s="95">
        <f t="shared" si="26"/>
        <v>8.7220665602134098</v>
      </c>
      <c r="AI64" s="95">
        <f t="shared" si="36"/>
        <v>66.869176961636143</v>
      </c>
      <c r="AJ64" s="7"/>
      <c r="AK64" s="7"/>
      <c r="AL64" s="7"/>
      <c r="AM64" s="7">
        <f>AN9</f>
        <v>155.14636807957388</v>
      </c>
      <c r="AN64" s="95">
        <f t="shared" si="35"/>
        <v>222.01554504121003</v>
      </c>
      <c r="AO64" s="95"/>
      <c r="AP64" s="95"/>
    </row>
    <row r="65" spans="1:43" ht="15.75" customHeight="1" thickBot="1" x14ac:dyDescent="0.3">
      <c r="A65" s="259" t="str">
        <f t="shared" si="6"/>
        <v>Harvesting_Grain Grain_Vac 2,400-5,000 bu/hr (requires 70 hp)</v>
      </c>
      <c r="B65" s="260" t="s">
        <v>280</v>
      </c>
      <c r="C65" s="261" t="s">
        <v>291</v>
      </c>
      <c r="D65" s="261" t="s">
        <v>198</v>
      </c>
      <c r="E65" s="262" t="s">
        <v>52</v>
      </c>
      <c r="F65" s="256">
        <v>37100</v>
      </c>
      <c r="G65" s="59">
        <f>ROUND(F65,-3)</f>
        <v>37000</v>
      </c>
      <c r="H65" s="11"/>
      <c r="I65" s="60" t="s">
        <v>490</v>
      </c>
      <c r="J65" s="60" t="s">
        <v>509</v>
      </c>
      <c r="K65" s="61"/>
      <c r="L65" s="61"/>
      <c r="M65" s="61"/>
      <c r="N65" s="60" t="s">
        <v>510</v>
      </c>
      <c r="O65" s="60" t="s">
        <v>511</v>
      </c>
      <c r="P65" s="61"/>
      <c r="Q65" s="61"/>
      <c r="R65" s="61"/>
      <c r="S65" s="60"/>
      <c r="T65" s="60"/>
      <c r="U65" s="61"/>
      <c r="V65" s="61"/>
      <c r="W65" s="11"/>
      <c r="X65" s="8">
        <v>15</v>
      </c>
      <c r="Y65" s="8">
        <v>50</v>
      </c>
      <c r="Z65" s="9">
        <v>2</v>
      </c>
      <c r="AA65" s="96"/>
      <c r="AD65" s="8"/>
      <c r="AE65" s="8"/>
      <c r="AF65" s="95">
        <f t="shared" si="24"/>
        <v>49.093669398654811</v>
      </c>
      <c r="AG65" s="95">
        <f t="shared" si="8"/>
        <v>14.84</v>
      </c>
      <c r="AH65" s="95">
        <f t="shared" si="26"/>
        <v>9.5900504097982218</v>
      </c>
      <c r="AI65" s="95">
        <f t="shared" ref="AI65:AI67" si="38">AF65+AG65+AH65</f>
        <v>73.523719808453038</v>
      </c>
      <c r="AJ65" s="7"/>
      <c r="AK65" s="7"/>
      <c r="AL65" s="7"/>
      <c r="AM65" s="7">
        <f>AN6</f>
        <v>99.575095161941121</v>
      </c>
      <c r="AN65" s="95">
        <f t="shared" si="35"/>
        <v>173.09881497039416</v>
      </c>
      <c r="AO65" s="95"/>
      <c r="AP65" s="95"/>
    </row>
    <row r="66" spans="1:43" ht="15.75" customHeight="1" thickBot="1" x14ac:dyDescent="0.3">
      <c r="A66" s="259" t="str">
        <f t="shared" si="6"/>
        <v>Harvesting_Grain Grain_Vac 6,000-10,000 bu/hr (requires 120 hp)</v>
      </c>
      <c r="B66" s="260" t="s">
        <v>280</v>
      </c>
      <c r="C66" s="261" t="s">
        <v>291</v>
      </c>
      <c r="D66" s="261" t="s">
        <v>199</v>
      </c>
      <c r="E66" s="263" t="s">
        <v>53</v>
      </c>
      <c r="F66" s="256">
        <v>51000</v>
      </c>
      <c r="G66" s="59">
        <f>ROUND(F66,-3)</f>
        <v>51000</v>
      </c>
      <c r="H66" s="66"/>
      <c r="I66" s="67" t="s">
        <v>512</v>
      </c>
      <c r="J66" s="67" t="s">
        <v>513</v>
      </c>
      <c r="K66" s="68"/>
      <c r="L66" s="68"/>
      <c r="M66" s="68"/>
      <c r="N66" s="67" t="s">
        <v>490</v>
      </c>
      <c r="O66" s="67" t="s">
        <v>514</v>
      </c>
      <c r="P66" s="68"/>
      <c r="Q66" s="68"/>
      <c r="R66" s="68"/>
      <c r="S66" s="67" t="s">
        <v>512</v>
      </c>
      <c r="T66" s="67" t="s">
        <v>515</v>
      </c>
      <c r="U66" s="68"/>
      <c r="V66" s="68"/>
      <c r="W66" s="66"/>
      <c r="X66" s="8">
        <v>15</v>
      </c>
      <c r="Y66" s="8">
        <v>50</v>
      </c>
      <c r="Z66" s="9">
        <v>2</v>
      </c>
      <c r="AA66" s="96"/>
      <c r="AD66" s="8"/>
      <c r="AE66" s="8"/>
      <c r="AF66" s="95">
        <f t="shared" si="24"/>
        <v>67.487254429417661</v>
      </c>
      <c r="AG66" s="95">
        <f t="shared" si="8"/>
        <v>20.399999999999999</v>
      </c>
      <c r="AH66" s="95">
        <f t="shared" si="26"/>
        <v>13.183088164412647</v>
      </c>
      <c r="AI66" s="95">
        <f t="shared" si="38"/>
        <v>101.0703425938303</v>
      </c>
      <c r="AJ66" s="7"/>
      <c r="AK66" s="7"/>
      <c r="AL66" s="7"/>
      <c r="AM66" s="7">
        <f>AN7</f>
        <v>116.03465989970888</v>
      </c>
      <c r="AN66" s="95">
        <f t="shared" si="35"/>
        <v>217.10500249353919</v>
      </c>
      <c r="AO66" s="95"/>
      <c r="AP66" s="95"/>
    </row>
    <row r="67" spans="1:43" ht="15.75" customHeight="1" thickBot="1" x14ac:dyDescent="0.3">
      <c r="A67" s="259" t="str">
        <f t="shared" si="6"/>
        <v>Harvesting_Hay Self_propelled_Forage_Harvester Small (400-599 hp)</v>
      </c>
      <c r="B67" s="260" t="s">
        <v>281</v>
      </c>
      <c r="C67" s="261" t="s">
        <v>342</v>
      </c>
      <c r="D67" s="261" t="s">
        <v>200</v>
      </c>
      <c r="E67" s="262" t="s">
        <v>41</v>
      </c>
      <c r="F67" s="256">
        <v>622000</v>
      </c>
      <c r="G67" s="48">
        <f>ROUND(F67/5000,0)*5000</f>
        <v>620000</v>
      </c>
      <c r="H67" s="49"/>
      <c r="I67" s="50" t="s">
        <v>13</v>
      </c>
      <c r="J67" s="71">
        <v>8400</v>
      </c>
      <c r="K67" s="51"/>
      <c r="L67" s="51"/>
      <c r="M67" s="51"/>
      <c r="N67" s="50" t="s">
        <v>376</v>
      </c>
      <c r="O67" s="50" t="s">
        <v>516</v>
      </c>
      <c r="P67" s="51"/>
      <c r="Q67" s="51"/>
      <c r="R67" s="51"/>
      <c r="S67" s="50" t="s">
        <v>408</v>
      </c>
      <c r="T67" s="50">
        <v>940</v>
      </c>
      <c r="U67" s="51"/>
      <c r="V67" s="51"/>
      <c r="W67" s="49"/>
      <c r="X67" s="8">
        <v>10</v>
      </c>
      <c r="Y67" s="8">
        <v>400</v>
      </c>
      <c r="Z67" s="9">
        <v>8</v>
      </c>
      <c r="AA67" s="96">
        <v>79</v>
      </c>
      <c r="AB67" s="101"/>
      <c r="AC67" s="101"/>
      <c r="AD67" s="8"/>
      <c r="AE67" s="8"/>
      <c r="AF67" s="95">
        <f t="shared" si="24"/>
        <v>146.55247152609479</v>
      </c>
      <c r="AG67" s="95">
        <f t="shared" si="8"/>
        <v>124.4</v>
      </c>
      <c r="AH67" s="95">
        <f t="shared" si="26"/>
        <v>40.642870728914211</v>
      </c>
      <c r="AI67" s="95">
        <f t="shared" si="38"/>
        <v>311.59534225500897</v>
      </c>
      <c r="AJ67" s="7">
        <f>AA67*Fuel_Price</f>
        <v>100.172</v>
      </c>
      <c r="AK67" s="7">
        <f>Labour</f>
        <v>27</v>
      </c>
      <c r="AL67" s="7">
        <f>Margin_percentage*(AJ67+AK67)</f>
        <v>19.075799999999997</v>
      </c>
      <c r="AM67" s="7"/>
      <c r="AN67" s="95">
        <f t="shared" ref="AN67:AN75" si="39">AI67+AJ67+AK67+AL67</f>
        <v>457.84314225500901</v>
      </c>
      <c r="AO67" s="95"/>
      <c r="AP67" s="8" t="s">
        <v>724</v>
      </c>
    </row>
    <row r="68" spans="1:43" ht="15.75" customHeight="1" thickBot="1" x14ac:dyDescent="0.3">
      <c r="A68" s="259" t="str">
        <f t="shared" si="6"/>
        <v>Harvesting_Hay Self_propelled_Forage_Harvester Medium (600-799 hp)</v>
      </c>
      <c r="B68" s="260" t="s">
        <v>281</v>
      </c>
      <c r="C68" s="261" t="s">
        <v>342</v>
      </c>
      <c r="D68" s="261" t="s">
        <v>201</v>
      </c>
      <c r="E68" s="264" t="s">
        <v>42</v>
      </c>
      <c r="F68" s="256">
        <v>792300</v>
      </c>
      <c r="G68" s="48">
        <f t="shared" ref="G68:G69" si="40">ROUND(F68/5000,0)*5000</f>
        <v>790000</v>
      </c>
      <c r="H68" s="55"/>
      <c r="I68" s="56" t="s">
        <v>13</v>
      </c>
      <c r="J68" s="58">
        <v>8600</v>
      </c>
      <c r="K68" s="57"/>
      <c r="L68" s="57"/>
      <c r="M68" s="57"/>
      <c r="N68" s="56" t="s">
        <v>376</v>
      </c>
      <c r="O68" s="56" t="s">
        <v>517</v>
      </c>
      <c r="P68" s="57"/>
      <c r="Q68" s="57"/>
      <c r="R68" s="57"/>
      <c r="S68" s="56" t="s">
        <v>408</v>
      </c>
      <c r="T68" s="56">
        <v>960</v>
      </c>
      <c r="U68" s="57"/>
      <c r="V68" s="57"/>
      <c r="W68" s="55"/>
      <c r="X68" s="8">
        <v>10</v>
      </c>
      <c r="Y68" s="8">
        <v>400</v>
      </c>
      <c r="Z68" s="9">
        <v>8</v>
      </c>
      <c r="AA68" s="96">
        <v>103</v>
      </c>
      <c r="AB68" s="101"/>
      <c r="AC68" s="101"/>
      <c r="AD68" s="8"/>
      <c r="AE68" s="8"/>
      <c r="AF68" s="95">
        <f t="shared" si="24"/>
        <v>186.67769001627801</v>
      </c>
      <c r="AG68" s="95">
        <f t="shared" si="8"/>
        <v>158.46</v>
      </c>
      <c r="AH68" s="95">
        <f t="shared" si="26"/>
        <v>51.770653502441704</v>
      </c>
      <c r="AI68" s="95">
        <f t="shared" ref="AI68:AI69" si="41">AF68+AG68+AH68</f>
        <v>396.90834351871973</v>
      </c>
      <c r="AJ68" s="7">
        <f>AA68*Fuel_Price</f>
        <v>130.60400000000001</v>
      </c>
      <c r="AK68" s="7">
        <f>Labour</f>
        <v>27</v>
      </c>
      <c r="AL68" s="7">
        <f>Margin_percentage*(AJ68+AK68)</f>
        <v>23.640600000000003</v>
      </c>
      <c r="AM68" s="7"/>
      <c r="AN68" s="95">
        <f t="shared" si="39"/>
        <v>578.15294351871967</v>
      </c>
      <c r="AO68" s="95"/>
      <c r="AP68" s="8" t="s">
        <v>724</v>
      </c>
    </row>
    <row r="69" spans="1:43" ht="15.75" customHeight="1" thickBot="1" x14ac:dyDescent="0.3">
      <c r="A69" s="259" t="str">
        <f t="shared" si="6"/>
        <v>Harvesting_Hay Self_propelled_Forage_Harvester Large (800-899 hp)</v>
      </c>
      <c r="B69" s="260" t="s">
        <v>281</v>
      </c>
      <c r="C69" s="261" t="s">
        <v>342</v>
      </c>
      <c r="D69" s="261" t="s">
        <v>202</v>
      </c>
      <c r="E69" s="263" t="s">
        <v>25</v>
      </c>
      <c r="F69" s="256">
        <v>887400</v>
      </c>
      <c r="G69" s="48">
        <f t="shared" si="40"/>
        <v>885000</v>
      </c>
      <c r="H69" s="52"/>
      <c r="I69" s="53" t="s">
        <v>13</v>
      </c>
      <c r="J69" s="72">
        <v>8800</v>
      </c>
      <c r="K69" s="54"/>
      <c r="L69" s="54"/>
      <c r="M69" s="54"/>
      <c r="N69" s="53" t="s">
        <v>376</v>
      </c>
      <c r="O69" s="53" t="s">
        <v>518</v>
      </c>
      <c r="P69" s="54"/>
      <c r="Q69" s="54"/>
      <c r="R69" s="54"/>
      <c r="S69" s="53" t="s">
        <v>408</v>
      </c>
      <c r="T69" s="53">
        <v>980</v>
      </c>
      <c r="U69" s="54"/>
      <c r="V69" s="54"/>
      <c r="W69" s="52"/>
      <c r="X69" s="8">
        <v>10</v>
      </c>
      <c r="Y69" s="8">
        <v>400</v>
      </c>
      <c r="Z69" s="9">
        <v>8</v>
      </c>
      <c r="AA69" s="96">
        <v>121</v>
      </c>
      <c r="AB69" s="101"/>
      <c r="AC69" s="101"/>
      <c r="AD69" s="8"/>
      <c r="AE69" s="8"/>
      <c r="AF69" s="95">
        <f t="shared" si="24"/>
        <v>209.08466757597515</v>
      </c>
      <c r="AG69" s="95">
        <f t="shared" si="8"/>
        <v>177.48</v>
      </c>
      <c r="AH69" s="95">
        <f t="shared" si="26"/>
        <v>57.98470013639627</v>
      </c>
      <c r="AI69" s="95">
        <f t="shared" si="41"/>
        <v>444.54936771237141</v>
      </c>
      <c r="AJ69" s="7">
        <f>AA69*Fuel_Price</f>
        <v>153.428</v>
      </c>
      <c r="AK69" s="7">
        <f>Labour</f>
        <v>27</v>
      </c>
      <c r="AL69" s="7">
        <f>Margin_percentage*(AJ69+AK69)</f>
        <v>27.0642</v>
      </c>
      <c r="AM69" s="7"/>
      <c r="AN69" s="95">
        <f t="shared" si="39"/>
        <v>652.04156771237149</v>
      </c>
      <c r="AO69" s="95"/>
      <c r="AP69" s="8" t="s">
        <v>724</v>
      </c>
    </row>
    <row r="70" spans="1:43" ht="15.75" customHeight="1" thickBot="1" x14ac:dyDescent="0.3">
      <c r="A70" s="259" t="str">
        <f t="shared" si="6"/>
        <v>Harvesting_Hay SP_Forage_Harvester_Header Windrow Pickup (12-17 ft width)</v>
      </c>
      <c r="B70" s="260" t="s">
        <v>281</v>
      </c>
      <c r="C70" s="261" t="s">
        <v>292</v>
      </c>
      <c r="D70" s="261" t="s">
        <v>203</v>
      </c>
      <c r="E70" s="262" t="s">
        <v>86</v>
      </c>
      <c r="F70" s="256">
        <v>50000</v>
      </c>
      <c r="G70" s="59">
        <f>ROUND(F70,-3)</f>
        <v>50000</v>
      </c>
      <c r="H70" s="49"/>
      <c r="I70" s="50" t="s">
        <v>13</v>
      </c>
      <c r="J70" s="71" t="s">
        <v>519</v>
      </c>
      <c r="K70" s="51"/>
      <c r="L70" s="51"/>
      <c r="M70" s="51"/>
      <c r="N70" s="50" t="s">
        <v>376</v>
      </c>
      <c r="O70" s="50" t="s">
        <v>520</v>
      </c>
      <c r="P70" s="51"/>
      <c r="Q70" s="51"/>
      <c r="R70" s="51"/>
      <c r="S70" s="50" t="s">
        <v>521</v>
      </c>
      <c r="T70" s="50" t="s">
        <v>522</v>
      </c>
      <c r="U70" s="51"/>
      <c r="V70" s="51"/>
      <c r="W70" s="49"/>
      <c r="X70" s="8">
        <v>10</v>
      </c>
      <c r="Y70" s="8">
        <v>400</v>
      </c>
      <c r="Z70" s="9">
        <v>8</v>
      </c>
      <c r="AA70" s="96"/>
      <c r="AB70" s="101">
        <v>6.5</v>
      </c>
      <c r="AC70" s="101">
        <v>27.5</v>
      </c>
      <c r="AD70" s="94">
        <f t="shared" ref="AD70:AD81" si="42">ROUND((AB70*5280*AC70*Field_efficiency)/43560,0)</f>
        <v>17</v>
      </c>
      <c r="AE70" s="8" t="s">
        <v>713</v>
      </c>
      <c r="AF70" s="95">
        <f t="shared" si="24"/>
        <v>11.780745299525305</v>
      </c>
      <c r="AG70" s="95">
        <f t="shared" si="8"/>
        <v>10</v>
      </c>
      <c r="AH70" s="95">
        <f t="shared" si="26"/>
        <v>3.267111794928796</v>
      </c>
      <c r="AI70" s="95">
        <f t="shared" ref="AI70:AI73" si="43">AF70+AG70+AH70</f>
        <v>25.047857094454102</v>
      </c>
      <c r="AJ70" s="7"/>
      <c r="AK70" s="7"/>
      <c r="AL70" s="7"/>
      <c r="AM70" s="7"/>
      <c r="AN70" s="95">
        <f t="shared" si="39"/>
        <v>25.047857094454102</v>
      </c>
      <c r="AO70" s="95"/>
      <c r="AP70" s="8" t="s">
        <v>724</v>
      </c>
      <c r="AQ70" s="95">
        <f>AN70/AD70</f>
        <v>1.4734033584973001</v>
      </c>
    </row>
    <row r="71" spans="1:43" ht="15.75" customHeight="1" thickBot="1" x14ac:dyDescent="0.3">
      <c r="A71" s="259" t="str">
        <f t="shared" si="6"/>
        <v>Harvesting_Hay SP_Forage_Harvester_Header Corn (14-20 ft width)</v>
      </c>
      <c r="B71" s="260" t="s">
        <v>281</v>
      </c>
      <c r="C71" s="261" t="s">
        <v>292</v>
      </c>
      <c r="D71" s="261" t="s">
        <v>204</v>
      </c>
      <c r="E71" s="264" t="s">
        <v>87</v>
      </c>
      <c r="F71" s="256">
        <v>130000</v>
      </c>
      <c r="G71" s="59">
        <f>ROUND(F71/5000,0)*5000</f>
        <v>130000</v>
      </c>
      <c r="H71" s="55"/>
      <c r="I71" s="56" t="s">
        <v>13</v>
      </c>
      <c r="J71" s="56" t="s">
        <v>523</v>
      </c>
      <c r="K71" s="57"/>
      <c r="L71" s="57"/>
      <c r="M71" s="57"/>
      <c r="N71" s="56" t="s">
        <v>376</v>
      </c>
      <c r="O71" s="56" t="s">
        <v>524</v>
      </c>
      <c r="P71" s="57"/>
      <c r="Q71" s="57"/>
      <c r="R71" s="57"/>
      <c r="S71" s="56" t="s">
        <v>408</v>
      </c>
      <c r="T71" s="56" t="s">
        <v>525</v>
      </c>
      <c r="U71" s="57"/>
      <c r="V71" s="57"/>
      <c r="W71" s="55"/>
      <c r="X71" s="8">
        <v>10</v>
      </c>
      <c r="Y71" s="8">
        <v>400</v>
      </c>
      <c r="Z71" s="9">
        <v>8</v>
      </c>
      <c r="AA71" s="96"/>
      <c r="AB71" s="101">
        <v>6.5</v>
      </c>
      <c r="AC71" s="101">
        <v>14</v>
      </c>
      <c r="AD71" s="94">
        <f t="shared" si="42"/>
        <v>9</v>
      </c>
      <c r="AE71" s="8" t="s">
        <v>713</v>
      </c>
      <c r="AF71" s="95">
        <f t="shared" si="24"/>
        <v>30.629937778765793</v>
      </c>
      <c r="AG71" s="95">
        <f t="shared" si="8"/>
        <v>26</v>
      </c>
      <c r="AH71" s="95">
        <f t="shared" si="26"/>
        <v>8.494490666814869</v>
      </c>
      <c r="AI71" s="95">
        <f t="shared" si="43"/>
        <v>65.124428445580662</v>
      </c>
      <c r="AJ71" s="7"/>
      <c r="AK71" s="7"/>
      <c r="AL71" s="7"/>
      <c r="AM71" s="7"/>
      <c r="AN71" s="95">
        <f t="shared" si="39"/>
        <v>65.124428445580662</v>
      </c>
      <c r="AO71" s="95"/>
      <c r="AP71" s="8" t="s">
        <v>724</v>
      </c>
      <c r="AQ71" s="95">
        <f t="shared" ref="AQ71:AQ72" si="44">AN71/AD71</f>
        <v>7.2360476050645177</v>
      </c>
    </row>
    <row r="72" spans="1:43" ht="15.75" customHeight="1" thickBot="1" x14ac:dyDescent="0.3">
      <c r="A72" s="259" t="str">
        <f t="shared" si="6"/>
        <v>Harvesting_Hay SP_Forage_Harvester_Header Corn (21-30 ft width)</v>
      </c>
      <c r="B72" s="260" t="s">
        <v>281</v>
      </c>
      <c r="C72" s="261" t="s">
        <v>292</v>
      </c>
      <c r="D72" s="261" t="s">
        <v>205</v>
      </c>
      <c r="E72" s="263" t="s">
        <v>88</v>
      </c>
      <c r="F72" s="256">
        <v>190000</v>
      </c>
      <c r="G72" s="48">
        <f t="shared" ref="G72:G73" si="45">ROUND(F72/5000,0)*5000</f>
        <v>190000</v>
      </c>
      <c r="H72" s="52"/>
      <c r="I72" s="53" t="s">
        <v>13</v>
      </c>
      <c r="J72" s="56" t="s">
        <v>526</v>
      </c>
      <c r="K72" s="54"/>
      <c r="L72" s="54"/>
      <c r="M72" s="54"/>
      <c r="N72" s="53" t="s">
        <v>376</v>
      </c>
      <c r="O72" s="53" t="s">
        <v>527</v>
      </c>
      <c r="P72" s="54"/>
      <c r="Q72" s="54"/>
      <c r="R72" s="54"/>
      <c r="S72" s="53" t="s">
        <v>408</v>
      </c>
      <c r="T72" s="53" t="s">
        <v>528</v>
      </c>
      <c r="U72" s="54"/>
      <c r="V72" s="54"/>
      <c r="W72" s="52"/>
      <c r="X72" s="8">
        <v>10</v>
      </c>
      <c r="Y72" s="8">
        <v>400</v>
      </c>
      <c r="Z72" s="9">
        <v>8</v>
      </c>
      <c r="AA72" s="96"/>
      <c r="AB72" s="101">
        <v>6.5</v>
      </c>
      <c r="AC72" s="101">
        <v>21</v>
      </c>
      <c r="AD72" s="94">
        <f t="shared" si="42"/>
        <v>13</v>
      </c>
      <c r="AE72" s="8" t="s">
        <v>713</v>
      </c>
      <c r="AF72" s="95">
        <f t="shared" si="24"/>
        <v>44.766832138196165</v>
      </c>
      <c r="AG72" s="95">
        <f t="shared" si="8"/>
        <v>38</v>
      </c>
      <c r="AH72" s="95">
        <f t="shared" si="26"/>
        <v>12.415024820729425</v>
      </c>
      <c r="AI72" s="95">
        <f t="shared" si="43"/>
        <v>95.181856958925593</v>
      </c>
      <c r="AJ72" s="7"/>
      <c r="AK72" s="7"/>
      <c r="AL72" s="7"/>
      <c r="AM72" s="7"/>
      <c r="AN72" s="95">
        <f t="shared" si="39"/>
        <v>95.181856958925593</v>
      </c>
      <c r="AO72" s="95"/>
      <c r="AP72" s="8" t="s">
        <v>724</v>
      </c>
      <c r="AQ72" s="95">
        <f t="shared" si="44"/>
        <v>7.3216813045327376</v>
      </c>
    </row>
    <row r="73" spans="1:43" ht="15.75" customHeight="1" thickBot="1" x14ac:dyDescent="0.3">
      <c r="A73" s="259" t="str">
        <f t="shared" si="6"/>
        <v>Harvesting_Hay Self_propelled_Mower_Conditioner Disc Mower Conditioner (13-19 ft)</v>
      </c>
      <c r="B73" s="260" t="s">
        <v>281</v>
      </c>
      <c r="C73" s="261" t="s">
        <v>345</v>
      </c>
      <c r="D73" s="261" t="s">
        <v>206</v>
      </c>
      <c r="E73" s="266" t="s">
        <v>89</v>
      </c>
      <c r="F73" s="256">
        <v>253600</v>
      </c>
      <c r="G73" s="48">
        <f t="shared" si="45"/>
        <v>255000</v>
      </c>
      <c r="H73" s="49"/>
      <c r="I73" s="91" t="s">
        <v>13</v>
      </c>
      <c r="J73" s="50" t="s">
        <v>529</v>
      </c>
      <c r="K73" s="51"/>
      <c r="L73" s="51"/>
      <c r="M73" s="51"/>
      <c r="N73" s="91" t="s">
        <v>368</v>
      </c>
      <c r="O73" s="50" t="s">
        <v>530</v>
      </c>
      <c r="P73" s="51"/>
      <c r="Q73" s="51"/>
      <c r="R73" s="51"/>
      <c r="S73" s="50" t="s">
        <v>376</v>
      </c>
      <c r="T73" s="50" t="s">
        <v>531</v>
      </c>
      <c r="U73" s="51"/>
      <c r="V73" s="51"/>
      <c r="W73" s="49"/>
      <c r="X73" s="8">
        <v>15</v>
      </c>
      <c r="Y73" s="8">
        <v>150</v>
      </c>
      <c r="Z73" s="9">
        <v>3.2</v>
      </c>
      <c r="AA73" s="8">
        <v>36</v>
      </c>
      <c r="AB73" s="101">
        <v>8</v>
      </c>
      <c r="AC73" s="103">
        <v>16</v>
      </c>
      <c r="AD73" s="94">
        <f t="shared" si="42"/>
        <v>12</v>
      </c>
      <c r="AE73" s="8" t="s">
        <v>713</v>
      </c>
      <c r="AF73" s="95">
        <f t="shared" si="24"/>
        <v>111.86122694967527</v>
      </c>
      <c r="AG73" s="95">
        <f t="shared" si="8"/>
        <v>54.101333333333329</v>
      </c>
      <c r="AH73" s="95">
        <f t="shared" si="26"/>
        <v>24.894384042451289</v>
      </c>
      <c r="AI73" s="95">
        <f t="shared" si="43"/>
        <v>190.85694432545989</v>
      </c>
      <c r="AJ73" s="7">
        <f>AA73*Fuel_Price</f>
        <v>45.648000000000003</v>
      </c>
      <c r="AK73" s="7">
        <f>Labour</f>
        <v>27</v>
      </c>
      <c r="AL73" s="7">
        <f>Margin_percentage*(AJ73+AK73)</f>
        <v>10.8972</v>
      </c>
      <c r="AM73" s="7"/>
      <c r="AN73" s="95">
        <f t="shared" si="39"/>
        <v>274.40214432545986</v>
      </c>
      <c r="AO73" s="95">
        <f>AN73/AD73</f>
        <v>22.866845360454988</v>
      </c>
      <c r="AP73" s="8" t="s">
        <v>724</v>
      </c>
    </row>
    <row r="74" spans="1:43" ht="15.75" customHeight="1" thickBot="1" x14ac:dyDescent="0.3">
      <c r="A74" s="259" t="str">
        <f t="shared" si="6"/>
        <v>Harvesting_Hay Self_propelled_Mower_Conditioner Disc Mower Conditioner (30 ft)</v>
      </c>
      <c r="B74" s="260" t="s">
        <v>281</v>
      </c>
      <c r="C74" s="261" t="s">
        <v>345</v>
      </c>
      <c r="D74" s="261" t="s">
        <v>207</v>
      </c>
      <c r="E74" s="264" t="s">
        <v>66</v>
      </c>
      <c r="F74" s="256">
        <v>586000</v>
      </c>
      <c r="G74" s="48">
        <f>ROUND(F74/5000,0)*5000</f>
        <v>585000</v>
      </c>
      <c r="H74" s="55"/>
      <c r="I74" s="56" t="s">
        <v>532</v>
      </c>
      <c r="J74" s="56" t="s">
        <v>533</v>
      </c>
      <c r="K74" s="57"/>
      <c r="L74" s="57"/>
      <c r="M74" s="57"/>
      <c r="N74" s="56" t="s">
        <v>532</v>
      </c>
      <c r="O74" s="56" t="s">
        <v>534</v>
      </c>
      <c r="P74" s="57"/>
      <c r="Q74" s="57"/>
      <c r="R74" s="57"/>
      <c r="S74" s="56"/>
      <c r="T74" s="56"/>
      <c r="U74" s="57"/>
      <c r="V74" s="57"/>
      <c r="W74" s="55"/>
      <c r="X74" s="8">
        <v>15</v>
      </c>
      <c r="Y74" s="8">
        <v>150</v>
      </c>
      <c r="Z74" s="9">
        <v>3.2</v>
      </c>
      <c r="AA74" s="8">
        <v>64</v>
      </c>
      <c r="AB74" s="101">
        <v>8</v>
      </c>
      <c r="AC74" s="103">
        <v>30</v>
      </c>
      <c r="AD74" s="94">
        <f t="shared" si="42"/>
        <v>23</v>
      </c>
      <c r="AE74" s="8" t="s">
        <v>713</v>
      </c>
      <c r="AF74" s="95">
        <f t="shared" si="24"/>
        <v>258.48059539633169</v>
      </c>
      <c r="AG74" s="95">
        <f t="shared" ref="AG74:AG75" si="46">Z74/100*F74/Y74</f>
        <v>125.01333333333334</v>
      </c>
      <c r="AH74" s="95">
        <f t="shared" si="26"/>
        <v>57.524089309449749</v>
      </c>
      <c r="AI74" s="95">
        <f t="shared" ref="AI74:AI75" si="47">AF74+AG74+AH74</f>
        <v>441.01801803911474</v>
      </c>
      <c r="AJ74" s="7">
        <f>AA74*Fuel_Price</f>
        <v>81.152000000000001</v>
      </c>
      <c r="AK74" s="7">
        <f>Labour</f>
        <v>27</v>
      </c>
      <c r="AL74" s="7">
        <f>Margin_percentage*(AJ74+AK74)</f>
        <v>16.222799999999999</v>
      </c>
      <c r="AM74" s="7"/>
      <c r="AN74" s="95">
        <f t="shared" si="39"/>
        <v>565.39281803911479</v>
      </c>
      <c r="AO74" s="95">
        <f t="shared" ref="AO74:AO81" si="48">AN74/AD74</f>
        <v>24.582296436483251</v>
      </c>
      <c r="AP74" s="8" t="s">
        <v>724</v>
      </c>
    </row>
    <row r="75" spans="1:43" ht="15.75" customHeight="1" thickBot="1" x14ac:dyDescent="0.3">
      <c r="A75" s="259" t="str">
        <f t="shared" si="6"/>
        <v>Harvesting_Hay Self_propelled_Mower_Conditioner Sickle Mower Conditioner (14-18 ft)</v>
      </c>
      <c r="B75" s="260" t="s">
        <v>281</v>
      </c>
      <c r="C75" s="261" t="s">
        <v>345</v>
      </c>
      <c r="D75" s="261" t="s">
        <v>208</v>
      </c>
      <c r="E75" s="267" t="s">
        <v>90</v>
      </c>
      <c r="F75" s="256">
        <v>222100</v>
      </c>
      <c r="G75" s="48">
        <f>ROUND(F75/5000,0)*5000</f>
        <v>220000</v>
      </c>
      <c r="H75" s="76"/>
      <c r="I75" s="79" t="s">
        <v>368</v>
      </c>
      <c r="J75" s="58" t="s">
        <v>530</v>
      </c>
      <c r="K75" s="57"/>
      <c r="L75" s="57"/>
      <c r="M75" s="57"/>
      <c r="N75" s="79" t="s">
        <v>459</v>
      </c>
      <c r="O75" s="56" t="s">
        <v>535</v>
      </c>
      <c r="P75" s="77"/>
      <c r="Q75" s="77"/>
      <c r="R75" s="77"/>
      <c r="S75" s="78" t="s">
        <v>376</v>
      </c>
      <c r="T75" s="78" t="s">
        <v>531</v>
      </c>
      <c r="U75" s="77"/>
      <c r="V75" s="77"/>
      <c r="W75" s="76"/>
      <c r="X75" s="8">
        <v>15</v>
      </c>
      <c r="Y75" s="8">
        <v>150</v>
      </c>
      <c r="Z75" s="9">
        <v>3.2</v>
      </c>
      <c r="AA75" s="8">
        <v>32</v>
      </c>
      <c r="AB75" s="101">
        <v>6</v>
      </c>
      <c r="AC75" s="103">
        <v>16</v>
      </c>
      <c r="AD75" s="94">
        <f t="shared" si="42"/>
        <v>9</v>
      </c>
      <c r="AE75" s="8" t="s">
        <v>713</v>
      </c>
      <c r="AF75" s="95">
        <f t="shared" si="24"/>
        <v>97.966792214206947</v>
      </c>
      <c r="AG75" s="95">
        <f t="shared" si="46"/>
        <v>47.38133333333333</v>
      </c>
      <c r="AH75" s="95">
        <f t="shared" si="26"/>
        <v>21.802218832131043</v>
      </c>
      <c r="AI75" s="95">
        <f t="shared" si="47"/>
        <v>167.15034437967134</v>
      </c>
      <c r="AJ75" s="7">
        <f>AA75*Fuel_Price</f>
        <v>40.576000000000001</v>
      </c>
      <c r="AK75" s="7">
        <f>Labour</f>
        <v>27</v>
      </c>
      <c r="AL75" s="7">
        <f>Margin_percentage*(AJ75+AK75)</f>
        <v>10.136399999999998</v>
      </c>
      <c r="AM75" s="7"/>
      <c r="AN75" s="95">
        <f t="shared" si="39"/>
        <v>244.86274437967134</v>
      </c>
      <c r="AO75" s="95">
        <f t="shared" si="48"/>
        <v>27.206971597741259</v>
      </c>
      <c r="AP75" s="8" t="s">
        <v>724</v>
      </c>
    </row>
    <row r="76" spans="1:43" ht="15.75" customHeight="1" thickBot="1" x14ac:dyDescent="0.3">
      <c r="A76" s="259" t="str">
        <f t="shared" ref="A76:A99" si="49">B76&amp;" "&amp;C76&amp;" "&amp;D76</f>
        <v xml:space="preserve">Harvesting_Hay Pull_Type_Mower_Conditioner Sickle (7-9 ft, requires 50 hp) </v>
      </c>
      <c r="B76" s="260" t="s">
        <v>281</v>
      </c>
      <c r="C76" s="261" t="s">
        <v>346</v>
      </c>
      <c r="D76" s="261" t="s">
        <v>209</v>
      </c>
      <c r="E76" s="262" t="s">
        <v>91</v>
      </c>
      <c r="F76" s="256">
        <v>41400</v>
      </c>
      <c r="G76" s="59">
        <f>ROUND(F76,-3)</f>
        <v>41000</v>
      </c>
      <c r="H76" s="49"/>
      <c r="I76" s="50" t="s">
        <v>376</v>
      </c>
      <c r="J76" s="71" t="s">
        <v>536</v>
      </c>
      <c r="K76" s="51"/>
      <c r="L76" s="51"/>
      <c r="M76" s="51"/>
      <c r="N76" s="50" t="s">
        <v>368</v>
      </c>
      <c r="O76" s="50" t="s">
        <v>537</v>
      </c>
      <c r="P76" s="51"/>
      <c r="Q76" s="51"/>
      <c r="R76" s="51"/>
      <c r="S76" s="50" t="s">
        <v>13</v>
      </c>
      <c r="T76" s="50" t="s">
        <v>538</v>
      </c>
      <c r="U76" s="51"/>
      <c r="V76" s="51"/>
      <c r="W76" s="49"/>
      <c r="X76" s="8">
        <v>15</v>
      </c>
      <c r="Y76" s="8">
        <v>150</v>
      </c>
      <c r="Z76" s="9">
        <v>2</v>
      </c>
      <c r="AA76" s="8"/>
      <c r="AB76" s="101">
        <v>5</v>
      </c>
      <c r="AC76" s="103">
        <v>8</v>
      </c>
      <c r="AD76" s="94">
        <f t="shared" si="42"/>
        <v>4</v>
      </c>
      <c r="AE76" s="8" t="s">
        <v>713</v>
      </c>
      <c r="AF76" s="95">
        <f t="shared" ref="AF76:AF110" si="50">(F76*Fraction_dep_over_optimal_life/X76/Y76)+IF(Machinery_Financed_percentage=0,0,(-CUMIPMT(Interest_Rate/2,Payback_loan_period_years*2,F76*Machinery_Financed_percentage,1,Payback_loan_period_years*2,0)/X76/Y76))+((F76*(1-Machinery_Financed_percentage)*(1+Opportunity_Rate/12)^(Opp_inv_period_years*12)-(F76*(1-Machinery_Financed_percentage)))/X76/Y76)+(Insurance_and_Housing*F76/Y76)</f>
        <v>18.261257080901249</v>
      </c>
      <c r="AG76" s="95">
        <f t="shared" ref="AG76" si="51">Z76/100*F76/Y76</f>
        <v>5.52</v>
      </c>
      <c r="AH76" s="95">
        <f t="shared" ref="AH76:AH110" si="52">Margin_percentage*(AF76+AG76)</f>
        <v>3.5671885621351871</v>
      </c>
      <c r="AI76" s="95">
        <f t="shared" ref="AI76" si="53">AF76+AG76+AH76</f>
        <v>27.348445643036435</v>
      </c>
      <c r="AJ76" s="7"/>
      <c r="AK76" s="7"/>
      <c r="AL76" s="7"/>
      <c r="AM76" s="7">
        <f>AN6</f>
        <v>99.575095161941121</v>
      </c>
      <c r="AN76" s="95">
        <f t="shared" ref="AN76:AN96" si="54">AI76+AM76</f>
        <v>126.92354080497756</v>
      </c>
      <c r="AO76" s="95">
        <f t="shared" si="48"/>
        <v>31.730885201244391</v>
      </c>
      <c r="AP76" s="8" t="s">
        <v>724</v>
      </c>
    </row>
    <row r="77" spans="1:43" ht="15.75" customHeight="1" thickBot="1" x14ac:dyDescent="0.3">
      <c r="A77" s="259" t="str">
        <f t="shared" si="49"/>
        <v xml:space="preserve">Harvesting_Hay Pull_Type_Mower_Conditioner Sickle (14 ft, requires 80 hp) </v>
      </c>
      <c r="B77" s="260" t="s">
        <v>281</v>
      </c>
      <c r="C77" s="261" t="s">
        <v>346</v>
      </c>
      <c r="D77" s="261" t="s">
        <v>210</v>
      </c>
      <c r="E77" s="264" t="s">
        <v>92</v>
      </c>
      <c r="F77" s="256">
        <v>64800</v>
      </c>
      <c r="G77" s="48">
        <f>ROUND(F77/5000,0)*5000</f>
        <v>65000</v>
      </c>
      <c r="H77" s="55"/>
      <c r="I77" s="56" t="s">
        <v>376</v>
      </c>
      <c r="J77" s="56" t="s">
        <v>539</v>
      </c>
      <c r="K77" s="57"/>
      <c r="L77" s="57"/>
      <c r="M77" s="57"/>
      <c r="N77" s="56" t="s">
        <v>368</v>
      </c>
      <c r="O77" s="56" t="s">
        <v>540</v>
      </c>
      <c r="P77" s="57"/>
      <c r="Q77" s="57"/>
      <c r="R77" s="57"/>
      <c r="S77" s="56" t="s">
        <v>13</v>
      </c>
      <c r="T77" s="56" t="s">
        <v>541</v>
      </c>
      <c r="U77" s="57"/>
      <c r="V77" s="57"/>
      <c r="W77" s="55"/>
      <c r="X77" s="8">
        <v>15</v>
      </c>
      <c r="Y77" s="8">
        <v>150</v>
      </c>
      <c r="Z77" s="9">
        <v>2</v>
      </c>
      <c r="AA77" s="8"/>
      <c r="AB77" s="101">
        <v>6</v>
      </c>
      <c r="AC77" s="103">
        <v>14</v>
      </c>
      <c r="AD77" s="94">
        <f t="shared" si="42"/>
        <v>8</v>
      </c>
      <c r="AE77" s="8" t="s">
        <v>713</v>
      </c>
      <c r="AF77" s="95">
        <f t="shared" si="50"/>
        <v>28.582837170106306</v>
      </c>
      <c r="AG77" s="95">
        <f t="shared" ref="AG77:AG78" si="55">Z77/100*F77/Y77</f>
        <v>8.64</v>
      </c>
      <c r="AH77" s="95">
        <f t="shared" si="52"/>
        <v>5.5834255755159452</v>
      </c>
      <c r="AI77" s="95">
        <f t="shared" ref="AI77:AI78" si="56">AF77+AG77+AH77</f>
        <v>42.806262745622249</v>
      </c>
      <c r="AJ77" s="7"/>
      <c r="AK77" s="7"/>
      <c r="AL77" s="7"/>
      <c r="AM77" s="7">
        <f>AN6</f>
        <v>99.575095161941121</v>
      </c>
      <c r="AN77" s="95">
        <f t="shared" si="54"/>
        <v>142.38135790756337</v>
      </c>
      <c r="AO77" s="95">
        <f t="shared" si="48"/>
        <v>17.797669738445421</v>
      </c>
      <c r="AP77" s="8" t="s">
        <v>724</v>
      </c>
    </row>
    <row r="78" spans="1:43" ht="15.75" customHeight="1" thickBot="1" x14ac:dyDescent="0.3">
      <c r="A78" s="259" t="str">
        <f t="shared" si="49"/>
        <v xml:space="preserve">Harvesting_Hay Pull_Type_Mower_Conditioner Sickle (16-18 ft, requires 100 hp) </v>
      </c>
      <c r="B78" s="260" t="s">
        <v>281</v>
      </c>
      <c r="C78" s="261" t="s">
        <v>346</v>
      </c>
      <c r="D78" s="261" t="s">
        <v>211</v>
      </c>
      <c r="E78" s="264" t="s">
        <v>93</v>
      </c>
      <c r="F78" s="256">
        <v>74300</v>
      </c>
      <c r="G78" s="48">
        <f>ROUND(F78/5000,0)*5000</f>
        <v>75000</v>
      </c>
      <c r="H78" s="55"/>
      <c r="I78" s="56" t="s">
        <v>376</v>
      </c>
      <c r="J78" s="56" t="s">
        <v>542</v>
      </c>
      <c r="K78" s="57"/>
      <c r="L78" s="57"/>
      <c r="M78" s="57"/>
      <c r="N78" s="56" t="s">
        <v>368</v>
      </c>
      <c r="O78" s="56" t="s">
        <v>543</v>
      </c>
      <c r="P78" s="57"/>
      <c r="Q78" s="57"/>
      <c r="R78" s="57"/>
      <c r="S78" s="56" t="s">
        <v>13</v>
      </c>
      <c r="T78" s="56" t="s">
        <v>544</v>
      </c>
      <c r="U78" s="57"/>
      <c r="V78" s="57"/>
      <c r="W78" s="55"/>
      <c r="X78" s="8">
        <v>15</v>
      </c>
      <c r="Y78" s="8">
        <v>150</v>
      </c>
      <c r="Z78" s="9">
        <v>2</v>
      </c>
      <c r="AA78" s="8"/>
      <c r="AB78" s="101">
        <v>6</v>
      </c>
      <c r="AC78" s="103">
        <v>16</v>
      </c>
      <c r="AD78" s="94">
        <f t="shared" si="42"/>
        <v>9</v>
      </c>
      <c r="AE78" s="8" t="s">
        <v>713</v>
      </c>
      <c r="AF78" s="95">
        <f t="shared" si="50"/>
        <v>32.773222249057071</v>
      </c>
      <c r="AG78" s="95">
        <f t="shared" si="55"/>
        <v>9.9066666666666663</v>
      </c>
      <c r="AH78" s="95">
        <f t="shared" si="52"/>
        <v>6.4019833373585602</v>
      </c>
      <c r="AI78" s="95">
        <f t="shared" si="56"/>
        <v>49.081872253082295</v>
      </c>
      <c r="AJ78" s="7"/>
      <c r="AK78" s="7"/>
      <c r="AL78" s="7"/>
      <c r="AM78" s="7">
        <f>AN6</f>
        <v>99.575095161941121</v>
      </c>
      <c r="AN78" s="95">
        <f t="shared" si="54"/>
        <v>148.65696741502342</v>
      </c>
      <c r="AO78" s="95">
        <f t="shared" si="48"/>
        <v>16.517440823891491</v>
      </c>
      <c r="AP78" s="8" t="s">
        <v>724</v>
      </c>
    </row>
    <row r="79" spans="1:43" ht="15.75" customHeight="1" thickBot="1" x14ac:dyDescent="0.3">
      <c r="A79" s="259" t="str">
        <f t="shared" si="49"/>
        <v xml:space="preserve">Harvesting_Hay Pull_Type_Mower_Conditioner Disc (9-10 ft, requires 60 hp) </v>
      </c>
      <c r="B79" s="260" t="s">
        <v>281</v>
      </c>
      <c r="C79" s="261" t="s">
        <v>346</v>
      </c>
      <c r="D79" s="261" t="s">
        <v>212</v>
      </c>
      <c r="E79" s="264" t="s">
        <v>94</v>
      </c>
      <c r="F79" s="256">
        <v>37000</v>
      </c>
      <c r="G79" s="59">
        <f t="shared" ref="G79" si="57">ROUND(F79,-2)</f>
        <v>37000</v>
      </c>
      <c r="H79" s="55"/>
      <c r="I79" s="56" t="s">
        <v>376</v>
      </c>
      <c r="J79" s="56" t="s">
        <v>545</v>
      </c>
      <c r="K79" s="57"/>
      <c r="L79" s="57"/>
      <c r="M79" s="57"/>
      <c r="N79" s="56" t="s">
        <v>546</v>
      </c>
      <c r="O79" s="56" t="s">
        <v>547</v>
      </c>
      <c r="P79" s="57"/>
      <c r="Q79" s="57"/>
      <c r="R79" s="57"/>
      <c r="S79" s="56"/>
      <c r="T79" s="56"/>
      <c r="U79" s="57"/>
      <c r="V79" s="57"/>
      <c r="W79" s="55"/>
      <c r="X79" s="8">
        <v>15</v>
      </c>
      <c r="Y79" s="8">
        <v>150</v>
      </c>
      <c r="Z79" s="9">
        <v>2.5</v>
      </c>
      <c r="AA79" s="8"/>
      <c r="AB79" s="101">
        <v>8</v>
      </c>
      <c r="AC79" s="103">
        <v>9</v>
      </c>
      <c r="AD79" s="94">
        <f t="shared" si="42"/>
        <v>7</v>
      </c>
      <c r="AE79" s="8" t="s">
        <v>713</v>
      </c>
      <c r="AF79" s="95">
        <f t="shared" si="50"/>
        <v>16.320447149597737</v>
      </c>
      <c r="AG79" s="95">
        <f t="shared" ref="AG79:AG81" si="58">Z79/100*F79/Y79</f>
        <v>6.166666666666667</v>
      </c>
      <c r="AH79" s="95">
        <f t="shared" si="52"/>
        <v>3.3730670724396608</v>
      </c>
      <c r="AI79" s="95">
        <f t="shared" ref="AI79:AI81" si="59">AF79+AG79+AH79</f>
        <v>25.860180888704065</v>
      </c>
      <c r="AJ79" s="7"/>
      <c r="AK79" s="7"/>
      <c r="AL79" s="7"/>
      <c r="AM79" s="7">
        <f>AN6</f>
        <v>99.575095161941121</v>
      </c>
      <c r="AN79" s="95">
        <f t="shared" si="54"/>
        <v>125.43527605064519</v>
      </c>
      <c r="AO79" s="95">
        <f t="shared" si="48"/>
        <v>17.91932515009217</v>
      </c>
      <c r="AP79" s="8" t="s">
        <v>724</v>
      </c>
    </row>
    <row r="80" spans="1:43" ht="15.75" customHeight="1" thickBot="1" x14ac:dyDescent="0.3">
      <c r="A80" s="259" t="str">
        <f t="shared" si="49"/>
        <v xml:space="preserve">Harvesting_Hay Pull_Type_Mower_Conditioner Disc (11-13 ft, requires 90 hp) </v>
      </c>
      <c r="B80" s="260" t="s">
        <v>281</v>
      </c>
      <c r="C80" s="261" t="s">
        <v>346</v>
      </c>
      <c r="D80" s="261" t="s">
        <v>213</v>
      </c>
      <c r="E80" s="267" t="s">
        <v>95</v>
      </c>
      <c r="F80" s="256">
        <v>74200</v>
      </c>
      <c r="G80" s="48">
        <f>ROUND(F80/5000,0)*5000</f>
        <v>75000</v>
      </c>
      <c r="H80" s="55"/>
      <c r="I80" s="56" t="s">
        <v>368</v>
      </c>
      <c r="J80" s="56" t="s">
        <v>548</v>
      </c>
      <c r="K80" s="57"/>
      <c r="L80" s="57"/>
      <c r="M80" s="57"/>
      <c r="N80" s="56"/>
      <c r="O80" s="56"/>
      <c r="P80" s="57"/>
      <c r="Q80" s="57"/>
      <c r="R80" s="57"/>
      <c r="S80" s="56"/>
      <c r="T80" s="56"/>
      <c r="U80" s="57"/>
      <c r="V80" s="57"/>
      <c r="W80" s="55"/>
      <c r="X80" s="8">
        <v>15</v>
      </c>
      <c r="Y80" s="8">
        <v>150</v>
      </c>
      <c r="Z80" s="9">
        <v>2.5</v>
      </c>
      <c r="AA80" s="8"/>
      <c r="AB80" s="101">
        <v>8</v>
      </c>
      <c r="AC80" s="103">
        <v>12</v>
      </c>
      <c r="AD80" s="94">
        <f t="shared" si="42"/>
        <v>9</v>
      </c>
      <c r="AE80" s="8" t="s">
        <v>713</v>
      </c>
      <c r="AF80" s="95">
        <f t="shared" si="50"/>
        <v>32.729112932436536</v>
      </c>
      <c r="AG80" s="95">
        <f t="shared" si="58"/>
        <v>12.366666666666667</v>
      </c>
      <c r="AH80" s="95">
        <f t="shared" si="52"/>
        <v>6.7643669398654804</v>
      </c>
      <c r="AI80" s="95">
        <f t="shared" si="59"/>
        <v>51.860146538968685</v>
      </c>
      <c r="AJ80" s="7"/>
      <c r="AK80" s="7"/>
      <c r="AL80" s="7"/>
      <c r="AM80" s="7">
        <f>AN6</f>
        <v>99.575095161941121</v>
      </c>
      <c r="AN80" s="95">
        <f t="shared" si="54"/>
        <v>151.43524170090981</v>
      </c>
      <c r="AO80" s="95">
        <f t="shared" si="48"/>
        <v>16.826137966767757</v>
      </c>
      <c r="AP80" s="8" t="s">
        <v>724</v>
      </c>
    </row>
    <row r="81" spans="1:43" ht="15.75" customHeight="1" thickBot="1" x14ac:dyDescent="0.3">
      <c r="A81" s="259" t="str">
        <f t="shared" si="49"/>
        <v xml:space="preserve">Harvesting_Hay Pull_Type_Mower_Conditioner Disc (14-16 ft, requires 100 hp) </v>
      </c>
      <c r="B81" s="260" t="s">
        <v>281</v>
      </c>
      <c r="C81" s="261" t="s">
        <v>346</v>
      </c>
      <c r="D81" s="261" t="s">
        <v>214</v>
      </c>
      <c r="E81" s="267" t="s">
        <v>96</v>
      </c>
      <c r="F81" s="256">
        <v>74200</v>
      </c>
      <c r="G81" s="48">
        <f>ROUND(F81/5000,0)*5000</f>
        <v>75000</v>
      </c>
      <c r="H81" s="52"/>
      <c r="I81" s="79" t="s">
        <v>376</v>
      </c>
      <c r="J81" s="56" t="s">
        <v>549</v>
      </c>
      <c r="K81" s="57"/>
      <c r="L81" s="57"/>
      <c r="M81" s="57"/>
      <c r="N81" s="53" t="s">
        <v>368</v>
      </c>
      <c r="O81" s="53" t="s">
        <v>550</v>
      </c>
      <c r="P81" s="54"/>
      <c r="Q81" s="54"/>
      <c r="R81" s="54"/>
      <c r="S81" s="53"/>
      <c r="T81" s="53"/>
      <c r="U81" s="54"/>
      <c r="V81" s="54"/>
      <c r="W81" s="52"/>
      <c r="X81" s="8">
        <v>15</v>
      </c>
      <c r="Y81" s="8">
        <v>150</v>
      </c>
      <c r="Z81" s="9">
        <v>2.5</v>
      </c>
      <c r="AA81" s="8"/>
      <c r="AB81" s="101">
        <v>8</v>
      </c>
      <c r="AC81" s="103">
        <v>15</v>
      </c>
      <c r="AD81" s="94">
        <f t="shared" si="42"/>
        <v>12</v>
      </c>
      <c r="AE81" s="8" t="s">
        <v>713</v>
      </c>
      <c r="AF81" s="95">
        <f t="shared" si="50"/>
        <v>32.729112932436536</v>
      </c>
      <c r="AG81" s="95">
        <f t="shared" si="58"/>
        <v>12.366666666666667</v>
      </c>
      <c r="AH81" s="95">
        <f t="shared" si="52"/>
        <v>6.7643669398654804</v>
      </c>
      <c r="AI81" s="95">
        <f t="shared" si="59"/>
        <v>51.860146538968685</v>
      </c>
      <c r="AJ81" s="7"/>
      <c r="AK81" s="7"/>
      <c r="AL81" s="7"/>
      <c r="AM81" s="7">
        <f>AN6</f>
        <v>99.575095161941121</v>
      </c>
      <c r="AN81" s="95">
        <f t="shared" si="54"/>
        <v>151.43524170090981</v>
      </c>
      <c r="AO81" s="95">
        <f t="shared" si="48"/>
        <v>12.619603475075818</v>
      </c>
      <c r="AP81" s="8" t="s">
        <v>724</v>
      </c>
    </row>
    <row r="82" spans="1:43" ht="15.75" customHeight="1" thickBot="1" x14ac:dyDescent="0.3">
      <c r="A82" s="259" t="str">
        <f t="shared" si="49"/>
        <v>Harvesting_Hay Baler_Large_Round 4x4 ft bales (requires 50 hp)</v>
      </c>
      <c r="B82" s="260" t="s">
        <v>281</v>
      </c>
      <c r="C82" s="261" t="s">
        <v>348</v>
      </c>
      <c r="D82" s="261" t="s">
        <v>215</v>
      </c>
      <c r="E82" s="262" t="s">
        <v>97</v>
      </c>
      <c r="F82" s="256">
        <v>38100</v>
      </c>
      <c r="G82" s="59">
        <f t="shared" ref="G82:G83" si="60">ROUND(F82,-3)</f>
        <v>38000</v>
      </c>
      <c r="H82" s="49"/>
      <c r="I82" s="50" t="s">
        <v>368</v>
      </c>
      <c r="J82" s="50" t="s">
        <v>551</v>
      </c>
      <c r="K82" s="51"/>
      <c r="L82" s="51"/>
      <c r="M82" s="51"/>
      <c r="N82" s="50" t="s">
        <v>376</v>
      </c>
      <c r="O82" s="50" t="s">
        <v>552</v>
      </c>
      <c r="P82" s="51"/>
      <c r="Q82" s="51"/>
      <c r="R82" s="51"/>
      <c r="S82" s="50" t="s">
        <v>13</v>
      </c>
      <c r="T82" s="50" t="s">
        <v>553</v>
      </c>
      <c r="U82" s="51"/>
      <c r="V82" s="51"/>
      <c r="W82" s="49"/>
      <c r="X82" s="8">
        <v>15</v>
      </c>
      <c r="Y82" s="8">
        <v>100</v>
      </c>
      <c r="Z82" s="9">
        <v>1.5</v>
      </c>
      <c r="AA82" s="8"/>
      <c r="AB82" s="101">
        <v>0</v>
      </c>
      <c r="AC82" s="103">
        <v>0</v>
      </c>
      <c r="AD82" s="8">
        <v>17</v>
      </c>
      <c r="AE82" s="8" t="s">
        <v>714</v>
      </c>
      <c r="AF82" s="95">
        <f t="shared" si="50"/>
        <v>25.208474448635418</v>
      </c>
      <c r="AG82" s="95">
        <f t="shared" ref="AG82" si="61">Z82/100*F82/Y82</f>
        <v>5.7149999999999999</v>
      </c>
      <c r="AH82" s="95">
        <f t="shared" si="52"/>
        <v>4.6385211672953126</v>
      </c>
      <c r="AI82" s="95">
        <f t="shared" ref="AI82" si="62">AF82+AG82+AH82</f>
        <v>35.561995615930726</v>
      </c>
      <c r="AJ82" s="7"/>
      <c r="AK82" s="7"/>
      <c r="AL82" s="7"/>
      <c r="AM82" s="7">
        <f>AN6</f>
        <v>99.575095161941121</v>
      </c>
      <c r="AN82" s="95">
        <f t="shared" si="54"/>
        <v>135.13709077787183</v>
      </c>
      <c r="AO82" s="95">
        <f t="shared" ref="AO82:AO94" si="63">AN82/AD82</f>
        <v>7.9492406339924608</v>
      </c>
      <c r="AP82" s="8" t="s">
        <v>725</v>
      </c>
    </row>
    <row r="83" spans="1:43" ht="15.75" customHeight="1" thickBot="1" x14ac:dyDescent="0.3">
      <c r="A83" s="259" t="str">
        <f t="shared" si="49"/>
        <v>Harvesting_Hay Baler_Large_Round 4x5 ft bales (requires 60 hp)</v>
      </c>
      <c r="B83" s="260" t="s">
        <v>281</v>
      </c>
      <c r="C83" s="261" t="s">
        <v>348</v>
      </c>
      <c r="D83" s="261" t="s">
        <v>216</v>
      </c>
      <c r="E83" s="264" t="s">
        <v>98</v>
      </c>
      <c r="F83" s="256">
        <v>41700</v>
      </c>
      <c r="G83" s="59">
        <f t="shared" si="60"/>
        <v>42000</v>
      </c>
      <c r="H83" s="55"/>
      <c r="I83" s="56" t="s">
        <v>368</v>
      </c>
      <c r="J83" s="56" t="s">
        <v>554</v>
      </c>
      <c r="K83" s="57"/>
      <c r="L83" s="57"/>
      <c r="M83" s="57"/>
      <c r="N83" s="56" t="s">
        <v>376</v>
      </c>
      <c r="O83" s="56" t="s">
        <v>555</v>
      </c>
      <c r="P83" s="57"/>
      <c r="Q83" s="57"/>
      <c r="R83" s="57"/>
      <c r="S83" s="56" t="s">
        <v>13</v>
      </c>
      <c r="T83" s="56" t="s">
        <v>556</v>
      </c>
      <c r="U83" s="57"/>
      <c r="V83" s="57"/>
      <c r="W83" s="55"/>
      <c r="X83" s="8">
        <v>15</v>
      </c>
      <c r="Y83" s="8">
        <v>100</v>
      </c>
      <c r="Z83" s="9">
        <v>1.5</v>
      </c>
      <c r="AA83" s="8"/>
      <c r="AB83" s="101">
        <v>0</v>
      </c>
      <c r="AC83" s="103">
        <v>0</v>
      </c>
      <c r="AD83" s="8">
        <v>15</v>
      </c>
      <c r="AE83" s="8" t="s">
        <v>714</v>
      </c>
      <c r="AF83" s="95">
        <f t="shared" si="50"/>
        <v>27.590377546144289</v>
      </c>
      <c r="AG83" s="95">
        <f t="shared" ref="AG83:AG86" si="64">Z83/100*F83/Y83</f>
        <v>6.2549999999999999</v>
      </c>
      <c r="AH83" s="95">
        <f t="shared" si="52"/>
        <v>5.0768066319216434</v>
      </c>
      <c r="AI83" s="95">
        <f t="shared" ref="AI83:AI86" si="65">AF83+AG83+AH83</f>
        <v>38.922184178065933</v>
      </c>
      <c r="AJ83" s="7"/>
      <c r="AK83" s="7"/>
      <c r="AL83" s="7"/>
      <c r="AM83" s="7">
        <f>AN6</f>
        <v>99.575095161941121</v>
      </c>
      <c r="AN83" s="95">
        <f t="shared" si="54"/>
        <v>138.49727934000705</v>
      </c>
      <c r="AO83" s="95">
        <f t="shared" si="63"/>
        <v>9.2331519560004711</v>
      </c>
      <c r="AP83" s="8" t="s">
        <v>725</v>
      </c>
    </row>
    <row r="84" spans="1:43" ht="15.75" customHeight="1" thickBot="1" x14ac:dyDescent="0.3">
      <c r="A84" s="259" t="str">
        <f t="shared" si="49"/>
        <v>Harvesting_Hay Baler_Large_Round 4x6 ft bales (requires 70 hp)</v>
      </c>
      <c r="B84" s="260" t="s">
        <v>281</v>
      </c>
      <c r="C84" s="261" t="s">
        <v>348</v>
      </c>
      <c r="D84" s="261" t="s">
        <v>217</v>
      </c>
      <c r="E84" s="264" t="s">
        <v>99</v>
      </c>
      <c r="F84" s="256">
        <v>59500</v>
      </c>
      <c r="G84" s="48">
        <f>ROUND(F84/5000,0)*5000</f>
        <v>60000</v>
      </c>
      <c r="H84" s="55"/>
      <c r="I84" s="56" t="s">
        <v>368</v>
      </c>
      <c r="J84" s="56" t="s">
        <v>557</v>
      </c>
      <c r="K84" s="57"/>
      <c r="L84" s="57"/>
      <c r="M84" s="57"/>
      <c r="N84" s="56" t="s">
        <v>376</v>
      </c>
      <c r="O84" s="56" t="s">
        <v>558</v>
      </c>
      <c r="P84" s="57"/>
      <c r="Q84" s="57"/>
      <c r="R84" s="57"/>
      <c r="S84" s="56" t="s">
        <v>13</v>
      </c>
      <c r="T84" s="56" t="s">
        <v>559</v>
      </c>
      <c r="U84" s="57"/>
      <c r="V84" s="57"/>
      <c r="W84" s="55"/>
      <c r="X84" s="8">
        <v>15</v>
      </c>
      <c r="Y84" s="8">
        <v>100</v>
      </c>
      <c r="Z84" s="9">
        <v>1.5</v>
      </c>
      <c r="AA84" s="8"/>
      <c r="AB84" s="101">
        <v>0</v>
      </c>
      <c r="AC84" s="103">
        <v>0</v>
      </c>
      <c r="AD84" s="8">
        <v>15</v>
      </c>
      <c r="AE84" s="8" t="s">
        <v>714</v>
      </c>
      <c r="AF84" s="95">
        <f t="shared" si="50"/>
        <v>39.367565083826975</v>
      </c>
      <c r="AG84" s="95">
        <f t="shared" si="64"/>
        <v>8.9250000000000007</v>
      </c>
      <c r="AH84" s="95">
        <f t="shared" si="52"/>
        <v>7.2438847625740452</v>
      </c>
      <c r="AI84" s="95">
        <f t="shared" si="65"/>
        <v>55.53644984640102</v>
      </c>
      <c r="AJ84" s="7"/>
      <c r="AK84" s="7"/>
      <c r="AL84" s="7"/>
      <c r="AM84" s="7">
        <f>AN6</f>
        <v>99.575095161941121</v>
      </c>
      <c r="AN84" s="95">
        <f t="shared" si="54"/>
        <v>155.11154500834215</v>
      </c>
      <c r="AO84" s="95">
        <f t="shared" si="63"/>
        <v>10.34076966722281</v>
      </c>
      <c r="AP84" s="8" t="s">
        <v>725</v>
      </c>
    </row>
    <row r="85" spans="1:43" ht="15.75" customHeight="1" thickBot="1" x14ac:dyDescent="0.3">
      <c r="A85" s="259" t="str">
        <f t="shared" si="49"/>
        <v>Harvesting_Hay Baler_Large_Round 5x5 ft bales (requires 70 hp)</v>
      </c>
      <c r="B85" s="260" t="s">
        <v>281</v>
      </c>
      <c r="C85" s="261" t="s">
        <v>348</v>
      </c>
      <c r="D85" s="261" t="s">
        <v>218</v>
      </c>
      <c r="E85" s="264" t="s">
        <v>100</v>
      </c>
      <c r="F85" s="256">
        <v>45100</v>
      </c>
      <c r="G85" s="59">
        <f>ROUND(F85,-3)</f>
        <v>45000</v>
      </c>
      <c r="H85" s="55"/>
      <c r="I85" s="56" t="s">
        <v>560</v>
      </c>
      <c r="J85" s="56" t="s">
        <v>561</v>
      </c>
      <c r="K85" s="57"/>
      <c r="L85" s="57"/>
      <c r="M85" s="57"/>
      <c r="N85" s="56" t="s">
        <v>376</v>
      </c>
      <c r="O85" s="56" t="s">
        <v>562</v>
      </c>
      <c r="P85" s="57"/>
      <c r="Q85" s="57"/>
      <c r="R85" s="57"/>
      <c r="S85" s="56" t="s">
        <v>13</v>
      </c>
      <c r="T85" s="56" t="s">
        <v>563</v>
      </c>
      <c r="U85" s="57"/>
      <c r="V85" s="57"/>
      <c r="W85" s="55"/>
      <c r="X85" s="8">
        <v>15</v>
      </c>
      <c r="Y85" s="8">
        <v>100</v>
      </c>
      <c r="Z85" s="9">
        <v>1.5</v>
      </c>
      <c r="AA85" s="8"/>
      <c r="AB85" s="101">
        <v>0</v>
      </c>
      <c r="AC85" s="103">
        <v>0</v>
      </c>
      <c r="AD85" s="8">
        <v>12</v>
      </c>
      <c r="AE85" s="8" t="s">
        <v>714</v>
      </c>
      <c r="AF85" s="95">
        <f t="shared" si="50"/>
        <v>29.839952693791531</v>
      </c>
      <c r="AG85" s="95">
        <f t="shared" si="64"/>
        <v>6.7649999999999997</v>
      </c>
      <c r="AH85" s="95">
        <f t="shared" si="52"/>
        <v>5.4907429040687292</v>
      </c>
      <c r="AI85" s="95">
        <f t="shared" si="65"/>
        <v>42.095695597860264</v>
      </c>
      <c r="AJ85" s="7"/>
      <c r="AK85" s="7"/>
      <c r="AL85" s="7"/>
      <c r="AM85" s="7">
        <f>AN6</f>
        <v>99.575095161941121</v>
      </c>
      <c r="AN85" s="95">
        <f t="shared" si="54"/>
        <v>141.67079075980138</v>
      </c>
      <c r="AO85" s="95">
        <f t="shared" si="63"/>
        <v>11.805899229983448</v>
      </c>
      <c r="AP85" s="8" t="s">
        <v>725</v>
      </c>
    </row>
    <row r="86" spans="1:43" ht="15.75" customHeight="1" thickBot="1" x14ac:dyDescent="0.3">
      <c r="A86" s="259" t="str">
        <f t="shared" si="49"/>
        <v>Harvesting_Hay Baler_Large_Round 5x6 ft bales (requires 80 hp)</v>
      </c>
      <c r="B86" s="260" t="s">
        <v>281</v>
      </c>
      <c r="C86" s="261" t="s">
        <v>348</v>
      </c>
      <c r="D86" s="261" t="s">
        <v>219</v>
      </c>
      <c r="E86" s="264" t="s">
        <v>101</v>
      </c>
      <c r="F86" s="256">
        <v>62600</v>
      </c>
      <c r="G86" s="48">
        <f>ROUND(F86/5000,0)*5000</f>
        <v>65000</v>
      </c>
      <c r="H86" s="52"/>
      <c r="I86" s="53" t="s">
        <v>368</v>
      </c>
      <c r="J86" s="53" t="s">
        <v>564</v>
      </c>
      <c r="K86" s="54"/>
      <c r="L86" s="54"/>
      <c r="M86" s="54"/>
      <c r="N86" s="53" t="s">
        <v>376</v>
      </c>
      <c r="O86" s="53" t="s">
        <v>565</v>
      </c>
      <c r="P86" s="54"/>
      <c r="Q86" s="54"/>
      <c r="R86" s="54"/>
      <c r="S86" s="53" t="s">
        <v>13</v>
      </c>
      <c r="T86" s="53" t="s">
        <v>566</v>
      </c>
      <c r="U86" s="54"/>
      <c r="V86" s="54"/>
      <c r="W86" s="52"/>
      <c r="X86" s="8">
        <v>15</v>
      </c>
      <c r="Y86" s="8">
        <v>100</v>
      </c>
      <c r="Z86" s="9">
        <v>1.5</v>
      </c>
      <c r="AA86" s="8"/>
      <c r="AB86" s="101">
        <v>0</v>
      </c>
      <c r="AC86" s="103">
        <v>0</v>
      </c>
      <c r="AD86" s="8">
        <v>12</v>
      </c>
      <c r="AE86" s="8" t="s">
        <v>714</v>
      </c>
      <c r="AF86" s="95">
        <f t="shared" si="50"/>
        <v>41.418648306681824</v>
      </c>
      <c r="AG86" s="95">
        <f t="shared" si="64"/>
        <v>9.39</v>
      </c>
      <c r="AH86" s="95">
        <f t="shared" si="52"/>
        <v>7.621297246002273</v>
      </c>
      <c r="AI86" s="95">
        <f t="shared" si="65"/>
        <v>58.429945552684096</v>
      </c>
      <c r="AJ86" s="7"/>
      <c r="AK86" s="7"/>
      <c r="AL86" s="7"/>
      <c r="AM86" s="7">
        <f>AN6</f>
        <v>99.575095161941121</v>
      </c>
      <c r="AN86" s="95">
        <f t="shared" si="54"/>
        <v>158.00504071462521</v>
      </c>
      <c r="AO86" s="95">
        <f t="shared" si="63"/>
        <v>13.167086726218768</v>
      </c>
      <c r="AP86" s="8" t="s">
        <v>725</v>
      </c>
    </row>
    <row r="87" spans="1:43" ht="15.75" customHeight="1" thickBot="1" x14ac:dyDescent="0.3">
      <c r="A87" s="259" t="str">
        <f t="shared" si="49"/>
        <v>Harvesting_Hay Baler_Small_Square 14x18x52 in. bales (requires 50 hp)</v>
      </c>
      <c r="B87" s="260" t="s">
        <v>281</v>
      </c>
      <c r="C87" s="261" t="s">
        <v>350</v>
      </c>
      <c r="D87" s="261" t="s">
        <v>223</v>
      </c>
      <c r="E87" s="269" t="s">
        <v>102</v>
      </c>
      <c r="F87" s="256">
        <v>26700</v>
      </c>
      <c r="G87" s="59">
        <f>ROUND(F87,-3)</f>
        <v>27000</v>
      </c>
      <c r="H87" s="73"/>
      <c r="I87" s="74" t="s">
        <v>368</v>
      </c>
      <c r="J87" s="80" t="s">
        <v>567</v>
      </c>
      <c r="K87" s="75"/>
      <c r="L87" s="75"/>
      <c r="M87" s="75"/>
      <c r="N87" s="74" t="s">
        <v>376</v>
      </c>
      <c r="O87" s="74" t="s">
        <v>568</v>
      </c>
      <c r="P87" s="75"/>
      <c r="Q87" s="75"/>
      <c r="R87" s="75"/>
      <c r="S87" s="74" t="s">
        <v>13</v>
      </c>
      <c r="T87" s="74">
        <v>328</v>
      </c>
      <c r="U87" s="75"/>
      <c r="V87" s="75"/>
      <c r="W87" s="73"/>
      <c r="X87" s="8">
        <v>20</v>
      </c>
      <c r="Y87" s="8">
        <v>100</v>
      </c>
      <c r="Z87" s="9">
        <v>1</v>
      </c>
      <c r="AA87" s="8"/>
      <c r="AB87" s="101">
        <v>0</v>
      </c>
      <c r="AC87" s="103">
        <v>0</v>
      </c>
      <c r="AD87" s="8">
        <v>175</v>
      </c>
      <c r="AE87" s="8" t="s">
        <v>714</v>
      </c>
      <c r="AF87" s="95">
        <f t="shared" si="50"/>
        <v>13.916835979893026</v>
      </c>
      <c r="AG87" s="95">
        <f t="shared" ref="AG87:AG88" si="66">Z87/100*F87/Y87</f>
        <v>2.67</v>
      </c>
      <c r="AH87" s="95">
        <f t="shared" si="52"/>
        <v>2.4880253969839536</v>
      </c>
      <c r="AI87" s="95">
        <f t="shared" ref="AI87:AI88" si="67">AF87+AG87+AH87</f>
        <v>19.074861376876978</v>
      </c>
      <c r="AJ87" s="7"/>
      <c r="AK87" s="7"/>
      <c r="AL87" s="7"/>
      <c r="AM87" s="7">
        <f>AN6</f>
        <v>99.575095161941121</v>
      </c>
      <c r="AN87" s="95">
        <f t="shared" si="54"/>
        <v>118.6499565388181</v>
      </c>
      <c r="AO87" s="95">
        <f t="shared" si="63"/>
        <v>0.67799975165038917</v>
      </c>
      <c r="AP87" s="8" t="s">
        <v>725</v>
      </c>
    </row>
    <row r="88" spans="1:43" ht="15.75" customHeight="1" thickBot="1" x14ac:dyDescent="0.3">
      <c r="A88" s="259" t="str">
        <f t="shared" si="49"/>
        <v>Harvesting_Hay Baler_Small_Square 16x18x52 in. bales (requires 50 hp)</v>
      </c>
      <c r="B88" s="260" t="s">
        <v>281</v>
      </c>
      <c r="C88" s="261" t="s">
        <v>350</v>
      </c>
      <c r="D88" s="261" t="s">
        <v>224</v>
      </c>
      <c r="E88" s="264" t="s">
        <v>103</v>
      </c>
      <c r="F88" s="256">
        <v>35000</v>
      </c>
      <c r="G88" s="59">
        <f>ROUND(F88,-3)</f>
        <v>35000</v>
      </c>
      <c r="H88" s="55"/>
      <c r="I88" s="56" t="s">
        <v>368</v>
      </c>
      <c r="J88" s="56" t="s">
        <v>569</v>
      </c>
      <c r="K88" s="57"/>
      <c r="L88" s="57"/>
      <c r="M88" s="57"/>
      <c r="N88" s="56" t="s">
        <v>376</v>
      </c>
      <c r="O88" s="56" t="s">
        <v>570</v>
      </c>
      <c r="P88" s="57"/>
      <c r="Q88" s="57"/>
      <c r="R88" s="57"/>
      <c r="S88" s="56" t="s">
        <v>459</v>
      </c>
      <c r="T88" s="56">
        <v>1842</v>
      </c>
      <c r="U88" s="57"/>
      <c r="V88" s="57"/>
      <c r="W88" s="55"/>
      <c r="X88" s="8">
        <v>20</v>
      </c>
      <c r="Y88" s="8">
        <v>100</v>
      </c>
      <c r="Z88" s="9">
        <v>1</v>
      </c>
      <c r="AA88" s="8"/>
      <c r="AB88" s="101">
        <v>0</v>
      </c>
      <c r="AC88" s="103">
        <v>0</v>
      </c>
      <c r="AD88" s="8">
        <v>175</v>
      </c>
      <c r="AE88" s="8" t="s">
        <v>714</v>
      </c>
      <c r="AF88" s="95">
        <f t="shared" si="50"/>
        <v>18.243043419335429</v>
      </c>
      <c r="AG88" s="95">
        <f t="shared" si="66"/>
        <v>3.5</v>
      </c>
      <c r="AH88" s="95">
        <f t="shared" si="52"/>
        <v>3.2614565129003141</v>
      </c>
      <c r="AI88" s="95">
        <f t="shared" si="67"/>
        <v>25.004499932235742</v>
      </c>
      <c r="AJ88" s="7"/>
      <c r="AK88" s="7"/>
      <c r="AL88" s="7"/>
      <c r="AM88" s="7">
        <f>AN6</f>
        <v>99.575095161941121</v>
      </c>
      <c r="AN88" s="95">
        <f t="shared" si="54"/>
        <v>124.57959509417687</v>
      </c>
      <c r="AO88" s="95">
        <f t="shared" si="63"/>
        <v>0.71188340053815358</v>
      </c>
      <c r="AP88" s="8" t="s">
        <v>725</v>
      </c>
    </row>
    <row r="89" spans="1:43" ht="15.75" customHeight="1" thickBot="1" x14ac:dyDescent="0.3">
      <c r="A89" s="259" t="str">
        <f t="shared" si="49"/>
        <v>Harvesting_Hay Baler_Large_Square Small, 35x31x108 in. (requires 145 hp)</v>
      </c>
      <c r="B89" s="260" t="s">
        <v>281</v>
      </c>
      <c r="C89" s="261" t="s">
        <v>349</v>
      </c>
      <c r="D89" s="261" t="s">
        <v>220</v>
      </c>
      <c r="E89" s="264" t="s">
        <v>104</v>
      </c>
      <c r="F89" s="256">
        <v>188400</v>
      </c>
      <c r="G89" s="48">
        <f>ROUND(F89/5000,0)*5000</f>
        <v>190000</v>
      </c>
      <c r="H89" s="55"/>
      <c r="I89" s="56" t="s">
        <v>368</v>
      </c>
      <c r="J89" s="56" t="s">
        <v>571</v>
      </c>
      <c r="K89" s="57"/>
      <c r="L89" s="57"/>
      <c r="M89" s="57"/>
      <c r="N89" s="56" t="s">
        <v>376</v>
      </c>
      <c r="O89" s="56" t="s">
        <v>572</v>
      </c>
      <c r="P89" s="57"/>
      <c r="Q89" s="57"/>
      <c r="R89" s="57"/>
      <c r="S89" s="56" t="s">
        <v>13</v>
      </c>
      <c r="T89" s="56" t="s">
        <v>573</v>
      </c>
      <c r="U89" s="57"/>
      <c r="V89" s="57"/>
      <c r="W89" s="55"/>
      <c r="X89" s="8">
        <v>15</v>
      </c>
      <c r="Y89" s="8">
        <v>150</v>
      </c>
      <c r="Z89" s="9">
        <v>1.7</v>
      </c>
      <c r="AA89" s="8"/>
      <c r="AB89" s="101">
        <v>0</v>
      </c>
      <c r="AC89" s="103">
        <v>0</v>
      </c>
      <c r="AD89" s="8">
        <v>40</v>
      </c>
      <c r="AE89" s="8" t="s">
        <v>714</v>
      </c>
      <c r="AF89" s="95">
        <f t="shared" si="50"/>
        <v>83.101952513086857</v>
      </c>
      <c r="AG89" s="95">
        <f t="shared" ref="AG89" si="68">Z89/100*F89/Y89</f>
        <v>21.352</v>
      </c>
      <c r="AH89" s="95">
        <f t="shared" si="52"/>
        <v>15.668092876963028</v>
      </c>
      <c r="AI89" s="95">
        <f t="shared" ref="AI89" si="69">AF89+AG89+AH89</f>
        <v>120.12204539004989</v>
      </c>
      <c r="AJ89" s="7"/>
      <c r="AK89" s="7"/>
      <c r="AL89" s="7"/>
      <c r="AM89" s="7">
        <f>AN8</f>
        <v>124.35989319840716</v>
      </c>
      <c r="AN89" s="95">
        <f t="shared" si="54"/>
        <v>244.48193858845707</v>
      </c>
      <c r="AO89" s="95">
        <f t="shared" si="63"/>
        <v>6.1120484647114264</v>
      </c>
      <c r="AP89" s="8" t="s">
        <v>725</v>
      </c>
    </row>
    <row r="90" spans="1:43" ht="15.75" customHeight="1" thickBot="1" x14ac:dyDescent="0.3">
      <c r="A90" s="259" t="str">
        <f t="shared" si="49"/>
        <v>Harvesting_Hay Baler_Large_Square Medium, 35x47x108 in. (requires 145 hp)</v>
      </c>
      <c r="B90" s="260" t="s">
        <v>281</v>
      </c>
      <c r="C90" s="261" t="s">
        <v>349</v>
      </c>
      <c r="D90" s="261" t="s">
        <v>221</v>
      </c>
      <c r="E90" s="264" t="s">
        <v>105</v>
      </c>
      <c r="F90" s="256">
        <v>211700</v>
      </c>
      <c r="G90" s="48">
        <f t="shared" ref="G90:G94" si="70">ROUND(F90/5000,0)*5000</f>
        <v>210000</v>
      </c>
      <c r="H90" s="55"/>
      <c r="I90" s="56" t="s">
        <v>368</v>
      </c>
      <c r="J90" s="56" t="s">
        <v>574</v>
      </c>
      <c r="K90" s="57"/>
      <c r="L90" s="57"/>
      <c r="M90" s="57"/>
      <c r="N90" s="56" t="s">
        <v>376</v>
      </c>
      <c r="O90" s="56" t="s">
        <v>575</v>
      </c>
      <c r="P90" s="57"/>
      <c r="Q90" s="57"/>
      <c r="R90" s="57"/>
      <c r="S90" s="56" t="s">
        <v>13</v>
      </c>
      <c r="T90" s="56" t="s">
        <v>576</v>
      </c>
      <c r="U90" s="57"/>
      <c r="V90" s="57"/>
      <c r="W90" s="55"/>
      <c r="X90" s="8">
        <v>15</v>
      </c>
      <c r="Y90" s="8">
        <v>150</v>
      </c>
      <c r="Z90" s="9">
        <v>1.7</v>
      </c>
      <c r="AA90" s="8"/>
      <c r="AB90" s="101">
        <v>0</v>
      </c>
      <c r="AC90" s="103">
        <v>0</v>
      </c>
      <c r="AD90" s="8">
        <v>40</v>
      </c>
      <c r="AE90" s="8" t="s">
        <v>714</v>
      </c>
      <c r="AF90" s="95">
        <f t="shared" si="50"/>
        <v>93.379423285671351</v>
      </c>
      <c r="AG90" s="95">
        <f t="shared" ref="AG90:AG94" si="71">Z90/100*F90/Y90</f>
        <v>23.992666666666668</v>
      </c>
      <c r="AH90" s="95">
        <f t="shared" si="52"/>
        <v>17.6058134928507</v>
      </c>
      <c r="AI90" s="95">
        <f t="shared" ref="AI90:AI94" si="72">AF90+AG90+AH90</f>
        <v>134.9779034451887</v>
      </c>
      <c r="AJ90" s="7"/>
      <c r="AK90" s="7"/>
      <c r="AL90" s="7"/>
      <c r="AM90" s="7">
        <f>AN8</f>
        <v>124.35989319840716</v>
      </c>
      <c r="AN90" s="95">
        <f t="shared" si="54"/>
        <v>259.33779664359588</v>
      </c>
      <c r="AO90" s="95">
        <f t="shared" si="63"/>
        <v>6.4834449160898968</v>
      </c>
      <c r="AP90" s="8" t="s">
        <v>725</v>
      </c>
    </row>
    <row r="91" spans="1:43" ht="15.75" customHeight="1" thickBot="1" x14ac:dyDescent="0.3">
      <c r="A91" s="259" t="str">
        <f>B91&amp;" "&amp;C91&amp;" "&amp;D91</f>
        <v>Harvesting_Hay Baler_Large_Square Large, 50x47x108 in. (requires 180 hp)</v>
      </c>
      <c r="B91" s="260" t="s">
        <v>281</v>
      </c>
      <c r="C91" s="261" t="s">
        <v>349</v>
      </c>
      <c r="D91" s="261" t="s">
        <v>222</v>
      </c>
      <c r="E91" s="263" t="s">
        <v>106</v>
      </c>
      <c r="F91" s="256">
        <v>264700</v>
      </c>
      <c r="G91" s="48">
        <f t="shared" si="70"/>
        <v>265000</v>
      </c>
      <c r="H91" s="52"/>
      <c r="I91" s="53" t="s">
        <v>532</v>
      </c>
      <c r="J91" s="53" t="s">
        <v>577</v>
      </c>
      <c r="K91" s="54"/>
      <c r="L91" s="54"/>
      <c r="M91" s="54"/>
      <c r="N91" s="53" t="s">
        <v>459</v>
      </c>
      <c r="O91" s="53">
        <v>2290</v>
      </c>
      <c r="P91" s="54"/>
      <c r="Q91" s="54"/>
      <c r="R91" s="54"/>
      <c r="S91" s="53"/>
      <c r="T91" s="53"/>
      <c r="U91" s="54"/>
      <c r="V91" s="54"/>
      <c r="W91" s="52"/>
      <c r="X91" s="8">
        <v>15</v>
      </c>
      <c r="Y91" s="8">
        <v>150</v>
      </c>
      <c r="Z91" s="9">
        <v>1.7</v>
      </c>
      <c r="AA91" s="8"/>
      <c r="AB91" s="101">
        <v>0</v>
      </c>
      <c r="AC91" s="103">
        <v>0</v>
      </c>
      <c r="AD91" s="8">
        <v>40</v>
      </c>
      <c r="AE91" s="8" t="s">
        <v>714</v>
      </c>
      <c r="AF91" s="95">
        <f t="shared" si="50"/>
        <v>116.75736109455462</v>
      </c>
      <c r="AG91" s="95">
        <f t="shared" si="71"/>
        <v>29.999333333333336</v>
      </c>
      <c r="AH91" s="95">
        <f t="shared" si="52"/>
        <v>22.013504164183193</v>
      </c>
      <c r="AI91" s="95">
        <f t="shared" si="72"/>
        <v>168.77019859207115</v>
      </c>
      <c r="AJ91" s="7"/>
      <c r="AK91" s="7"/>
      <c r="AL91" s="7"/>
      <c r="AM91" s="7">
        <f>AN9</f>
        <v>155.14636807957388</v>
      </c>
      <c r="AN91" s="95">
        <f t="shared" si="54"/>
        <v>323.916566671645</v>
      </c>
      <c r="AO91" s="95">
        <f t="shared" si="63"/>
        <v>8.0979141667911243</v>
      </c>
      <c r="AP91" s="8" t="s">
        <v>725</v>
      </c>
    </row>
    <row r="92" spans="1:43" s="6" customFormat="1" ht="15.75" customHeight="1" thickBot="1" x14ac:dyDescent="0.3">
      <c r="A92" s="265" t="str">
        <f t="shared" ref="A92:A94" si="73">B92&amp;" "&amp;C92&amp;" "&amp;D92</f>
        <v>Harvesting_Hay Hay_Rakes  Small, 16-20 ft</v>
      </c>
      <c r="B92" s="260" t="s">
        <v>281</v>
      </c>
      <c r="C92" s="261" t="s">
        <v>807</v>
      </c>
      <c r="D92" s="261" t="s">
        <v>809</v>
      </c>
      <c r="E92" s="268" t="s">
        <v>812</v>
      </c>
      <c r="F92" s="256">
        <v>18100</v>
      </c>
      <c r="G92" s="225">
        <f t="shared" si="70"/>
        <v>20000</v>
      </c>
      <c r="H92" s="226"/>
      <c r="I92" s="223"/>
      <c r="J92" s="223"/>
      <c r="K92" s="224"/>
      <c r="L92" s="230"/>
      <c r="M92" s="242"/>
      <c r="N92" s="223"/>
      <c r="O92" s="223"/>
      <c r="P92" s="224"/>
      <c r="Q92" s="224"/>
      <c r="R92" s="224"/>
      <c r="S92" s="78"/>
      <c r="T92" s="78"/>
      <c r="U92" s="224"/>
      <c r="V92" s="224"/>
      <c r="W92" s="222"/>
      <c r="X92" s="8">
        <v>20</v>
      </c>
      <c r="Y92" s="8">
        <v>50</v>
      </c>
      <c r="Z92" s="9">
        <v>2</v>
      </c>
      <c r="AA92" s="8"/>
      <c r="AB92" s="101">
        <v>0</v>
      </c>
      <c r="AC92" s="103">
        <v>0</v>
      </c>
      <c r="AD92" s="8">
        <v>9.6</v>
      </c>
      <c r="AE92" s="234" t="s">
        <v>713</v>
      </c>
      <c r="AF92" s="227">
        <v>12.092531637959482</v>
      </c>
      <c r="AG92" s="95">
        <f t="shared" si="71"/>
        <v>7.24</v>
      </c>
      <c r="AH92" s="229">
        <f t="shared" si="52"/>
        <v>2.8998797456939225</v>
      </c>
      <c r="AI92" s="229">
        <f t="shared" si="72"/>
        <v>22.232411383653407</v>
      </c>
      <c r="AJ92" s="7"/>
      <c r="AK92" s="7"/>
      <c r="AL92" s="7"/>
      <c r="AM92" s="228">
        <f t="shared" ref="AM92:AM94" si="74">AN10</f>
        <v>209.41102576780244</v>
      </c>
      <c r="AN92" s="229">
        <f t="shared" si="54"/>
        <v>231.64343715145586</v>
      </c>
      <c r="AO92" s="229">
        <f t="shared" si="63"/>
        <v>24.129524703276651</v>
      </c>
      <c r="AP92" s="234" t="s">
        <v>724</v>
      </c>
      <c r="AQ92" s="2"/>
    </row>
    <row r="93" spans="1:43" s="6" customFormat="1" ht="15.75" customHeight="1" thickBot="1" x14ac:dyDescent="0.3">
      <c r="A93" s="265" t="str">
        <f t="shared" si="73"/>
        <v>Harvesting_Hay Hay_Rakes  medium, 21-30 ft</v>
      </c>
      <c r="B93" s="260" t="s">
        <v>281</v>
      </c>
      <c r="C93" s="261" t="s">
        <v>807</v>
      </c>
      <c r="D93" s="261" t="s">
        <v>810</v>
      </c>
      <c r="E93" s="268" t="s">
        <v>813</v>
      </c>
      <c r="F93" s="256">
        <v>29200</v>
      </c>
      <c r="G93" s="225">
        <f t="shared" si="70"/>
        <v>30000</v>
      </c>
      <c r="H93" s="226"/>
      <c r="I93" s="223"/>
      <c r="J93" s="223"/>
      <c r="K93" s="224"/>
      <c r="L93" s="230"/>
      <c r="M93" s="242"/>
      <c r="N93" s="223"/>
      <c r="O93" s="223"/>
      <c r="P93" s="224"/>
      <c r="Q93" s="224"/>
      <c r="R93" s="224"/>
      <c r="S93" s="78"/>
      <c r="T93" s="78"/>
      <c r="U93" s="224"/>
      <c r="V93" s="224"/>
      <c r="W93" s="222"/>
      <c r="X93" s="8">
        <v>20</v>
      </c>
      <c r="Y93" s="8">
        <v>50</v>
      </c>
      <c r="Z93" s="9">
        <v>2</v>
      </c>
      <c r="AA93" s="8"/>
      <c r="AB93" s="101">
        <v>0</v>
      </c>
      <c r="AC93" s="103">
        <v>0</v>
      </c>
      <c r="AD93" s="8">
        <v>13.5</v>
      </c>
      <c r="AE93" s="234" t="s">
        <v>713</v>
      </c>
      <c r="AF93" s="227">
        <v>26.061490599050611</v>
      </c>
      <c r="AG93" s="95">
        <f t="shared" si="71"/>
        <v>11.68</v>
      </c>
      <c r="AH93" s="229">
        <f t="shared" si="52"/>
        <v>5.6612235898575909</v>
      </c>
      <c r="AI93" s="229">
        <f t="shared" si="72"/>
        <v>43.402714188908199</v>
      </c>
      <c r="AJ93" s="7"/>
      <c r="AK93" s="7"/>
      <c r="AL93" s="7"/>
      <c r="AM93" s="228">
        <f t="shared" si="74"/>
        <v>238.91465463500677</v>
      </c>
      <c r="AN93" s="229">
        <f t="shared" si="54"/>
        <v>282.31736882391499</v>
      </c>
      <c r="AO93" s="229">
        <f t="shared" si="63"/>
        <v>20.91239769066037</v>
      </c>
      <c r="AP93" s="234" t="s">
        <v>724</v>
      </c>
      <c r="AQ93" s="2"/>
    </row>
    <row r="94" spans="1:43" s="6" customFormat="1" ht="15.75" customHeight="1" thickBot="1" x14ac:dyDescent="0.3">
      <c r="A94" s="265" t="str">
        <f t="shared" si="73"/>
        <v>Harvesting_Hay Hay_Rakes  Large, 31-40 ft</v>
      </c>
      <c r="B94" s="260" t="s">
        <v>281</v>
      </c>
      <c r="C94" s="261" t="s">
        <v>807</v>
      </c>
      <c r="D94" s="261" t="s">
        <v>811</v>
      </c>
      <c r="E94" s="268" t="s">
        <v>814</v>
      </c>
      <c r="F94" s="256">
        <v>46700</v>
      </c>
      <c r="G94" s="225">
        <f t="shared" si="70"/>
        <v>45000</v>
      </c>
      <c r="H94" s="226"/>
      <c r="I94" s="223"/>
      <c r="J94" s="223"/>
      <c r="K94" s="224"/>
      <c r="L94" s="230"/>
      <c r="M94" s="242"/>
      <c r="N94" s="223"/>
      <c r="O94" s="223"/>
      <c r="P94" s="224"/>
      <c r="Q94" s="224"/>
      <c r="R94" s="224"/>
      <c r="S94" s="78"/>
      <c r="T94" s="78"/>
      <c r="U94" s="224"/>
      <c r="V94" s="224"/>
      <c r="W94" s="222"/>
      <c r="X94" s="8">
        <v>20</v>
      </c>
      <c r="Y94" s="8">
        <v>50</v>
      </c>
      <c r="Z94" s="9">
        <v>2</v>
      </c>
      <c r="AA94" s="8"/>
      <c r="AB94" s="101">
        <v>0</v>
      </c>
      <c r="AC94" s="103">
        <v>0</v>
      </c>
      <c r="AD94" s="8">
        <v>19</v>
      </c>
      <c r="AE94" s="234" t="s">
        <v>713</v>
      </c>
      <c r="AF94" s="227">
        <v>38.258268199406288</v>
      </c>
      <c r="AG94" s="95">
        <f t="shared" si="71"/>
        <v>18.68</v>
      </c>
      <c r="AH94" s="229">
        <f t="shared" si="52"/>
        <v>8.5407402299109432</v>
      </c>
      <c r="AI94" s="229">
        <f t="shared" si="72"/>
        <v>65.479008429317233</v>
      </c>
      <c r="AJ94" s="7"/>
      <c r="AK94" s="7"/>
      <c r="AL94" s="7"/>
      <c r="AM94" s="228">
        <f t="shared" si="74"/>
        <v>277.06836188932402</v>
      </c>
      <c r="AN94" s="229">
        <f t="shared" si="54"/>
        <v>342.54737031864124</v>
      </c>
      <c r="AO94" s="229">
        <f t="shared" si="63"/>
        <v>18.028808964139014</v>
      </c>
      <c r="AP94" s="234" t="s">
        <v>724</v>
      </c>
      <c r="AQ94" s="2"/>
    </row>
    <row r="95" spans="1:43" ht="15.75" customHeight="1" thickBot="1" x14ac:dyDescent="0.3">
      <c r="A95" s="259" t="str">
        <f t="shared" si="49"/>
        <v>Harvesting_Hay Pull_Type_Bale_Mover_Self_load_unload Round Bale 7-12 bale (requires 120 hp)</v>
      </c>
      <c r="B95" s="260" t="s">
        <v>281</v>
      </c>
      <c r="C95" s="261" t="s">
        <v>351</v>
      </c>
      <c r="D95" s="261" t="s">
        <v>225</v>
      </c>
      <c r="E95" s="262" t="s">
        <v>107</v>
      </c>
      <c r="F95" s="256">
        <v>29900</v>
      </c>
      <c r="G95" s="59">
        <f>ROUND(F95,-3)</f>
        <v>30000</v>
      </c>
      <c r="H95" s="49"/>
      <c r="I95" s="50" t="s">
        <v>578</v>
      </c>
      <c r="J95" s="50" t="s">
        <v>579</v>
      </c>
      <c r="K95" s="51"/>
      <c r="L95" s="51"/>
      <c r="M95" s="51"/>
      <c r="N95" s="50" t="s">
        <v>546</v>
      </c>
      <c r="O95" s="50">
        <v>1450</v>
      </c>
      <c r="P95" s="51"/>
      <c r="Q95" s="51"/>
      <c r="R95" s="51"/>
      <c r="S95" s="56" t="s">
        <v>580</v>
      </c>
      <c r="T95" s="56" t="s">
        <v>581</v>
      </c>
      <c r="U95" s="51"/>
      <c r="V95" s="51"/>
      <c r="W95" s="49"/>
      <c r="X95" s="8">
        <v>15</v>
      </c>
      <c r="Y95" s="8">
        <v>100</v>
      </c>
      <c r="Z95" s="9">
        <v>2.5</v>
      </c>
      <c r="AA95" s="8"/>
      <c r="AD95" s="8"/>
      <c r="AE95" s="8"/>
      <c r="AF95" s="95">
        <f t="shared" si="50"/>
        <v>19.783028504309691</v>
      </c>
      <c r="AG95" s="95">
        <f t="shared" ref="AG95" si="75">Z95/100*F95/Y95</f>
        <v>7.4749999999999996</v>
      </c>
      <c r="AH95" s="95">
        <f t="shared" si="52"/>
        <v>4.088704275646454</v>
      </c>
      <c r="AI95" s="95">
        <f t="shared" ref="AI95" si="76">AF95+AG95+AH95</f>
        <v>31.346732779956145</v>
      </c>
      <c r="AJ95" s="7"/>
      <c r="AK95" s="7"/>
      <c r="AL95" s="7"/>
      <c r="AM95" s="7">
        <f>AN8</f>
        <v>124.35989319840716</v>
      </c>
      <c r="AN95" s="95">
        <f t="shared" si="54"/>
        <v>155.70662597836332</v>
      </c>
      <c r="AO95" s="95"/>
      <c r="AP95" s="8"/>
    </row>
    <row r="96" spans="1:43" ht="15.75" customHeight="1" thickBot="1" x14ac:dyDescent="0.3">
      <c r="A96" s="259" t="str">
        <f t="shared" si="49"/>
        <v>Harvesting_Hay Pull_Type_Bale_Mover_Self_load_unload Round Bale 12-18 bale (requires 180 hp)</v>
      </c>
      <c r="B96" s="260" t="s">
        <v>281</v>
      </c>
      <c r="C96" s="261" t="s">
        <v>351</v>
      </c>
      <c r="D96" s="261" t="s">
        <v>226</v>
      </c>
      <c r="E96" s="264" t="s">
        <v>108</v>
      </c>
      <c r="F96" s="256">
        <v>70600</v>
      </c>
      <c r="G96" s="48">
        <f>ROUND(F96/5000,0)*5000</f>
        <v>70000</v>
      </c>
      <c r="H96" s="55"/>
      <c r="I96" s="56" t="s">
        <v>578</v>
      </c>
      <c r="J96" s="56" t="s">
        <v>582</v>
      </c>
      <c r="K96" s="57"/>
      <c r="L96" s="57"/>
      <c r="M96" s="57"/>
      <c r="N96" s="56" t="s">
        <v>546</v>
      </c>
      <c r="O96" s="56">
        <v>2450</v>
      </c>
      <c r="P96" s="57"/>
      <c r="Q96" s="57"/>
      <c r="R96" s="57"/>
      <c r="S96" s="56" t="s">
        <v>580</v>
      </c>
      <c r="T96" s="56" t="s">
        <v>583</v>
      </c>
      <c r="U96" s="57"/>
      <c r="V96" s="57"/>
      <c r="W96" s="55"/>
      <c r="X96" s="8">
        <v>15</v>
      </c>
      <c r="Y96" s="8">
        <v>100</v>
      </c>
      <c r="Z96" s="9">
        <v>2.5</v>
      </c>
      <c r="AA96" s="8"/>
      <c r="AD96" s="8"/>
      <c r="AE96" s="8"/>
      <c r="AF96" s="95">
        <f t="shared" si="50"/>
        <v>46.711766301145957</v>
      </c>
      <c r="AG96" s="95">
        <f t="shared" ref="AG96" si="77">Z96/100*F96/Y96</f>
        <v>17.649999999999999</v>
      </c>
      <c r="AH96" s="95">
        <f t="shared" si="52"/>
        <v>9.654264945171894</v>
      </c>
      <c r="AI96" s="95">
        <f t="shared" ref="AI96" si="78">AF96+AG96+AH96</f>
        <v>74.016031246317851</v>
      </c>
      <c r="AJ96" s="7"/>
      <c r="AK96" s="7"/>
      <c r="AL96" s="7"/>
      <c r="AM96" s="7">
        <f>AN9</f>
        <v>155.14636807957388</v>
      </c>
      <c r="AN96" s="95">
        <f t="shared" si="54"/>
        <v>229.16239932589173</v>
      </c>
      <c r="AO96" s="95"/>
      <c r="AP96" s="8"/>
    </row>
    <row r="97" spans="1:42" ht="15.75" customHeight="1" thickBot="1" x14ac:dyDescent="0.3">
      <c r="A97" s="259" t="str">
        <f t="shared" si="49"/>
        <v>Harvesting_Hay Pull_Type_Bale_Mover_Self_load_unload Large Square 4-6 bale (requires 120 hp)</v>
      </c>
      <c r="B97" s="260" t="s">
        <v>281</v>
      </c>
      <c r="C97" s="261" t="s">
        <v>351</v>
      </c>
      <c r="D97" s="261" t="s">
        <v>227</v>
      </c>
      <c r="E97" s="264" t="s">
        <v>109</v>
      </c>
      <c r="F97" s="256">
        <v>70600</v>
      </c>
      <c r="G97" s="48">
        <f t="shared" ref="G97:G122" si="79">ROUND(F97/5000,0)*5000</f>
        <v>70000</v>
      </c>
      <c r="H97" s="55"/>
      <c r="I97" s="56" t="s">
        <v>578</v>
      </c>
      <c r="J97" s="56" t="s">
        <v>584</v>
      </c>
      <c r="K97" s="57"/>
      <c r="L97" s="57"/>
      <c r="M97" s="57"/>
      <c r="N97" s="56"/>
      <c r="O97" s="56"/>
      <c r="P97" s="57"/>
      <c r="Q97" s="57"/>
      <c r="R97" s="57"/>
      <c r="S97" s="56"/>
      <c r="T97" s="56"/>
      <c r="U97" s="57"/>
      <c r="V97" s="57"/>
      <c r="W97" s="55"/>
      <c r="X97" s="8">
        <v>20</v>
      </c>
      <c r="Y97" s="8">
        <v>200</v>
      </c>
      <c r="Z97" s="9">
        <v>2</v>
      </c>
      <c r="AA97" s="8"/>
      <c r="AD97" s="8"/>
      <c r="AE97" s="8"/>
      <c r="AF97" s="95">
        <f t="shared" si="50"/>
        <v>18.399412362929734</v>
      </c>
      <c r="AG97" s="95">
        <f t="shared" ref="AG97:AG99" si="80">Z97/100*F97/Y97</f>
        <v>7.06</v>
      </c>
      <c r="AH97" s="95">
        <f t="shared" si="52"/>
        <v>3.8189118544394596</v>
      </c>
      <c r="AI97" s="95">
        <f t="shared" ref="AI97:AI99" si="81">AF97+AG97+AH97</f>
        <v>29.278324217369192</v>
      </c>
      <c r="AJ97" s="7"/>
      <c r="AK97" s="7"/>
      <c r="AL97" s="7"/>
      <c r="AM97" s="7">
        <f>AN8</f>
        <v>124.35989319840716</v>
      </c>
      <c r="AN97" s="95">
        <f t="shared" ref="AN97:AN99" si="82">AI97+AM97</f>
        <v>153.63821741577635</v>
      </c>
      <c r="AO97" s="95"/>
      <c r="AP97" s="8"/>
    </row>
    <row r="98" spans="1:42" ht="15.75" customHeight="1" thickBot="1" x14ac:dyDescent="0.3">
      <c r="A98" s="259" t="str">
        <f t="shared" si="49"/>
        <v>Harvesting_Hay Pull_Type_Bale_Mover_Self_load_unload Large Square 6-12 bale (requires 180 hp)</v>
      </c>
      <c r="B98" s="260" t="s">
        <v>281</v>
      </c>
      <c r="C98" s="261" t="s">
        <v>351</v>
      </c>
      <c r="D98" s="261" t="s">
        <v>228</v>
      </c>
      <c r="E98" s="264" t="s">
        <v>107</v>
      </c>
      <c r="F98" s="256">
        <v>94100</v>
      </c>
      <c r="G98" s="48">
        <f t="shared" si="79"/>
        <v>95000</v>
      </c>
      <c r="H98" s="55"/>
      <c r="I98" s="56" t="s">
        <v>578</v>
      </c>
      <c r="J98" s="56" t="s">
        <v>585</v>
      </c>
      <c r="K98" s="57"/>
      <c r="L98" s="57"/>
      <c r="M98" s="57"/>
      <c r="N98" s="56" t="s">
        <v>580</v>
      </c>
      <c r="O98" s="56" t="s">
        <v>586</v>
      </c>
      <c r="P98" s="57"/>
      <c r="Q98" s="57"/>
      <c r="R98" s="57"/>
      <c r="S98" s="56"/>
      <c r="T98" s="56"/>
      <c r="U98" s="57"/>
      <c r="V98" s="57"/>
      <c r="W98" s="55"/>
      <c r="X98" s="8">
        <v>20</v>
      </c>
      <c r="Y98" s="8">
        <v>200</v>
      </c>
      <c r="Z98" s="9">
        <v>2</v>
      </c>
      <c r="AA98" s="8"/>
      <c r="AD98" s="8"/>
      <c r="AE98" s="8"/>
      <c r="AF98" s="95">
        <f t="shared" si="50"/>
        <v>24.523862653706622</v>
      </c>
      <c r="AG98" s="95">
        <f t="shared" si="80"/>
        <v>9.41</v>
      </c>
      <c r="AH98" s="95">
        <f t="shared" si="52"/>
        <v>5.0900793980559937</v>
      </c>
      <c r="AI98" s="95">
        <f t="shared" si="81"/>
        <v>39.023942051762617</v>
      </c>
      <c r="AJ98" s="7"/>
      <c r="AK98" s="7"/>
      <c r="AL98" s="7"/>
      <c r="AM98" s="7">
        <f>AN9</f>
        <v>155.14636807957388</v>
      </c>
      <c r="AN98" s="95">
        <f t="shared" si="82"/>
        <v>194.17031013133649</v>
      </c>
      <c r="AO98" s="95"/>
      <c r="AP98" s="8"/>
    </row>
    <row r="99" spans="1:42" ht="15.75" customHeight="1" thickBot="1" x14ac:dyDescent="0.3">
      <c r="A99" s="259" t="str">
        <f t="shared" si="49"/>
        <v>Harvesting_Hay Pull_Type_Bale_Mover_Self_load_unload Large Square 12-20 bale (requires 220 hp)</v>
      </c>
      <c r="B99" s="260" t="s">
        <v>281</v>
      </c>
      <c r="C99" s="261" t="s">
        <v>351</v>
      </c>
      <c r="D99" s="261" t="s">
        <v>229</v>
      </c>
      <c r="E99" s="263" t="s">
        <v>110</v>
      </c>
      <c r="F99" s="256">
        <v>117600</v>
      </c>
      <c r="G99" s="48">
        <f t="shared" si="79"/>
        <v>120000</v>
      </c>
      <c r="H99" s="52"/>
      <c r="I99" s="53" t="s">
        <v>578</v>
      </c>
      <c r="J99" s="53" t="s">
        <v>587</v>
      </c>
      <c r="K99" s="54"/>
      <c r="L99" s="54"/>
      <c r="M99" s="54"/>
      <c r="N99" s="53" t="s">
        <v>546</v>
      </c>
      <c r="O99" s="53" t="s">
        <v>588</v>
      </c>
      <c r="P99" s="54"/>
      <c r="Q99" s="54"/>
      <c r="R99" s="54"/>
      <c r="S99" s="53" t="s">
        <v>580</v>
      </c>
      <c r="T99" s="53" t="s">
        <v>589</v>
      </c>
      <c r="U99" s="54"/>
      <c r="V99" s="54"/>
      <c r="W99" s="52"/>
      <c r="X99" s="8">
        <v>20</v>
      </c>
      <c r="Y99" s="8">
        <v>200</v>
      </c>
      <c r="Z99" s="9">
        <v>2</v>
      </c>
      <c r="AA99" s="8"/>
      <c r="AD99" s="8"/>
      <c r="AE99" s="8"/>
      <c r="AF99" s="95">
        <f t="shared" si="50"/>
        <v>30.648312944483518</v>
      </c>
      <c r="AG99" s="95">
        <f t="shared" si="80"/>
        <v>11.76</v>
      </c>
      <c r="AH99" s="95">
        <f t="shared" si="52"/>
        <v>6.3612469416725279</v>
      </c>
      <c r="AI99" s="95">
        <f t="shared" si="81"/>
        <v>48.769559886156046</v>
      </c>
      <c r="AJ99" s="7"/>
      <c r="AK99" s="7"/>
      <c r="AL99" s="7"/>
      <c r="AM99" s="7">
        <f>AN9</f>
        <v>155.14636807957388</v>
      </c>
      <c r="AN99" s="95">
        <f t="shared" si="82"/>
        <v>203.91592796572991</v>
      </c>
      <c r="AO99" s="95"/>
      <c r="AP99" s="8"/>
    </row>
    <row r="100" spans="1:42" ht="15.75" customHeight="1" thickBot="1" x14ac:dyDescent="0.3">
      <c r="A100" s="259" t="str">
        <f t="shared" ref="A100" si="83">B100&amp;" "&amp;C100&amp;" "&amp;D100</f>
        <v>Harvesting_Hay Self_propelled_Bale_Mover Self_propelled Small Square Bale Wagon</v>
      </c>
      <c r="B100" s="260" t="s">
        <v>281</v>
      </c>
      <c r="C100" s="261" t="s">
        <v>343</v>
      </c>
      <c r="D100" s="261" t="s">
        <v>344</v>
      </c>
      <c r="E100" s="270"/>
      <c r="F100" s="256">
        <v>456400</v>
      </c>
      <c r="G100" s="48">
        <f t="shared" si="79"/>
        <v>455000</v>
      </c>
      <c r="H100" s="81"/>
      <c r="I100" s="50" t="s">
        <v>376</v>
      </c>
      <c r="J100" s="82" t="s">
        <v>590</v>
      </c>
      <c r="K100" s="83"/>
      <c r="L100" s="83"/>
      <c r="M100" s="83"/>
      <c r="N100" s="50" t="s">
        <v>376</v>
      </c>
      <c r="O100" s="82" t="s">
        <v>591</v>
      </c>
      <c r="P100" s="83"/>
      <c r="Q100" s="83"/>
      <c r="R100" s="83"/>
      <c r="S100" s="50" t="s">
        <v>376</v>
      </c>
      <c r="T100" s="82" t="s">
        <v>592</v>
      </c>
      <c r="U100" s="83"/>
      <c r="V100" s="83"/>
      <c r="W100" s="81"/>
      <c r="X100" s="8">
        <v>15</v>
      </c>
      <c r="Y100" s="8">
        <v>150</v>
      </c>
      <c r="Z100" s="9">
        <v>2.5</v>
      </c>
      <c r="AA100" s="271">
        <v>28</v>
      </c>
      <c r="AD100" s="8"/>
      <c r="AE100" s="8"/>
      <c r="AF100" s="95">
        <f t="shared" si="50"/>
        <v>201.31492105611909</v>
      </c>
      <c r="AG100" s="95">
        <f t="shared" ref="AG100:AG101" si="84">Z100/100*F100/Y100</f>
        <v>76.066666666666663</v>
      </c>
      <c r="AH100" s="95">
        <f t="shared" si="52"/>
        <v>41.607238158417864</v>
      </c>
      <c r="AI100" s="95">
        <f t="shared" ref="AI100:AI101" si="85">AF100+AG100+AH100</f>
        <v>318.98882588120364</v>
      </c>
      <c r="AJ100" s="7">
        <f>AA100*Fuel_Price</f>
        <v>35.503999999999998</v>
      </c>
      <c r="AK100" s="7">
        <f>Labour</f>
        <v>27</v>
      </c>
      <c r="AL100" s="7">
        <f>Margin_percentage*(AJ100+AK100)</f>
        <v>9.3755999999999986</v>
      </c>
      <c r="AM100" s="7"/>
      <c r="AN100" s="95">
        <f>AI100++AJ100+AK100+AL100</f>
        <v>390.86842588120368</v>
      </c>
      <c r="AO100" s="95"/>
      <c r="AP100" s="8"/>
    </row>
    <row r="101" spans="1:42" ht="15.75" customHeight="1" thickBot="1" x14ac:dyDescent="0.3">
      <c r="A101" s="259" t="str">
        <f t="shared" ref="A101:A116" si="86">B101&amp;" "&amp;C101&amp;" "&amp;D101</f>
        <v>Seeding Air_Drills_with_Independent_Opener Small, 25-45 ft (requires 300 hp)</v>
      </c>
      <c r="B101" s="260" t="s">
        <v>27</v>
      </c>
      <c r="C101" s="261" t="s">
        <v>293</v>
      </c>
      <c r="D101" s="261" t="s">
        <v>230</v>
      </c>
      <c r="E101" s="262" t="s">
        <v>111</v>
      </c>
      <c r="F101" s="256">
        <v>417500</v>
      </c>
      <c r="G101" s="48">
        <f t="shared" si="79"/>
        <v>420000</v>
      </c>
      <c r="H101" s="11"/>
      <c r="I101" s="60" t="s">
        <v>593</v>
      </c>
      <c r="J101" s="60" t="s">
        <v>594</v>
      </c>
      <c r="K101" s="61"/>
      <c r="L101" s="61"/>
      <c r="M101" s="61"/>
      <c r="N101" s="60"/>
      <c r="O101" s="60"/>
      <c r="P101" s="61"/>
      <c r="Q101" s="61"/>
      <c r="R101" s="61"/>
      <c r="S101" s="60"/>
      <c r="T101" s="60"/>
      <c r="U101" s="61"/>
      <c r="V101" s="61"/>
      <c r="W101" s="11"/>
      <c r="X101" s="8">
        <v>15</v>
      </c>
      <c r="Y101" s="8">
        <v>200</v>
      </c>
      <c r="Z101" s="9">
        <v>3.5</v>
      </c>
      <c r="AA101" s="8"/>
      <c r="AB101" s="104">
        <v>4.75</v>
      </c>
      <c r="AC101" s="8">
        <v>35</v>
      </c>
      <c r="AD101" s="94">
        <f t="shared" ref="AD101:AD131" si="87">ROUND((AB101*5280*AC101*Field_efficiency)/43560,0)</f>
        <v>16</v>
      </c>
      <c r="AE101" s="8" t="s">
        <v>713</v>
      </c>
      <c r="AF101" s="95">
        <f t="shared" si="50"/>
        <v>138.11729766804842</v>
      </c>
      <c r="AG101" s="95">
        <f t="shared" si="84"/>
        <v>73.062500000000014</v>
      </c>
      <c r="AH101" s="95">
        <f t="shared" si="52"/>
        <v>31.676969650207262</v>
      </c>
      <c r="AI101" s="95">
        <f t="shared" si="85"/>
        <v>242.85676731825569</v>
      </c>
      <c r="AJ101" s="7"/>
      <c r="AK101" s="7"/>
      <c r="AL101" s="7"/>
      <c r="AM101" s="7">
        <f>AN11</f>
        <v>238.91465463500677</v>
      </c>
      <c r="AN101" s="95">
        <f>AI101+AM101</f>
        <v>481.77142195326246</v>
      </c>
      <c r="AO101" s="95">
        <f>AN101/AD101</f>
        <v>30.110713872078904</v>
      </c>
      <c r="AP101" s="8" t="s">
        <v>724</v>
      </c>
    </row>
    <row r="102" spans="1:42" ht="15.75" customHeight="1" thickBot="1" x14ac:dyDescent="0.3">
      <c r="A102" s="259" t="str">
        <f t="shared" si="86"/>
        <v>Seeding Air_Drills_with_Independent_Opener Medium, 46-65 ft (requires 400 hp)</v>
      </c>
      <c r="B102" s="260" t="s">
        <v>27</v>
      </c>
      <c r="C102" s="261" t="s">
        <v>293</v>
      </c>
      <c r="D102" s="261" t="s">
        <v>231</v>
      </c>
      <c r="E102" s="264" t="s">
        <v>112</v>
      </c>
      <c r="F102" s="256">
        <v>558800</v>
      </c>
      <c r="G102" s="48">
        <f t="shared" si="79"/>
        <v>560000</v>
      </c>
      <c r="H102" s="63"/>
      <c r="I102" s="64" t="s">
        <v>13</v>
      </c>
      <c r="J102" s="64" t="s">
        <v>595</v>
      </c>
      <c r="K102" s="65"/>
      <c r="L102" s="65"/>
      <c r="M102" s="65"/>
      <c r="N102" s="64" t="s">
        <v>596</v>
      </c>
      <c r="O102" s="64" t="s">
        <v>597</v>
      </c>
      <c r="P102" s="65"/>
      <c r="Q102" s="65"/>
      <c r="R102" s="65"/>
      <c r="S102" s="64"/>
      <c r="T102" s="64"/>
      <c r="U102" s="65"/>
      <c r="V102" s="65"/>
      <c r="W102" s="63"/>
      <c r="X102" s="8">
        <v>15</v>
      </c>
      <c r="Y102" s="8">
        <v>200</v>
      </c>
      <c r="Z102" s="9">
        <v>3.5</v>
      </c>
      <c r="AA102" s="8"/>
      <c r="AB102" s="104">
        <v>4.75</v>
      </c>
      <c r="AC102" s="8">
        <v>56</v>
      </c>
      <c r="AD102" s="94">
        <f t="shared" si="87"/>
        <v>26</v>
      </c>
      <c r="AE102" s="8" t="s">
        <v>713</v>
      </c>
      <c r="AF102" s="95">
        <f t="shared" si="50"/>
        <v>184.86214595665973</v>
      </c>
      <c r="AG102" s="95">
        <f t="shared" ref="AG102:AG103" si="88">Z102/100*F102/Y102</f>
        <v>97.79000000000002</v>
      </c>
      <c r="AH102" s="95">
        <f t="shared" si="52"/>
        <v>42.397821893498964</v>
      </c>
      <c r="AI102" s="95">
        <f t="shared" ref="AI102:AI103" si="89">AF102+AG102+AH102</f>
        <v>325.04996785015874</v>
      </c>
      <c r="AJ102" s="7"/>
      <c r="AK102" s="7"/>
      <c r="AL102" s="7"/>
      <c r="AM102" s="7">
        <f>AN11</f>
        <v>238.91465463500677</v>
      </c>
      <c r="AN102" s="95">
        <f t="shared" ref="AN102:AN103" si="90">AI102+AM102</f>
        <v>563.96462248516548</v>
      </c>
      <c r="AO102" s="95">
        <f t="shared" ref="AO102:AO131" si="91">AN102/AD102</f>
        <v>21.690947018660211</v>
      </c>
      <c r="AP102" s="8" t="s">
        <v>724</v>
      </c>
    </row>
    <row r="103" spans="1:42" ht="15.75" customHeight="1" thickBot="1" x14ac:dyDescent="0.3">
      <c r="A103" s="259" t="str">
        <f t="shared" si="86"/>
        <v>Seeding Air_Drills_with_Independent_Opener Large, 66-86 ft (requires 525+ hp)</v>
      </c>
      <c r="B103" s="260" t="s">
        <v>27</v>
      </c>
      <c r="C103" s="261" t="s">
        <v>293</v>
      </c>
      <c r="D103" s="261" t="s">
        <v>232</v>
      </c>
      <c r="E103" s="263" t="s">
        <v>113</v>
      </c>
      <c r="F103" s="256">
        <v>688200</v>
      </c>
      <c r="G103" s="48">
        <f t="shared" si="79"/>
        <v>690000</v>
      </c>
      <c r="H103" s="66"/>
      <c r="I103" s="67" t="s">
        <v>13</v>
      </c>
      <c r="J103" s="67" t="s">
        <v>595</v>
      </c>
      <c r="K103" s="68"/>
      <c r="L103" s="68"/>
      <c r="M103" s="68"/>
      <c r="N103" s="67"/>
      <c r="O103" s="67"/>
      <c r="P103" s="68"/>
      <c r="Q103" s="68"/>
      <c r="R103" s="68"/>
      <c r="S103" s="67"/>
      <c r="T103" s="67"/>
      <c r="U103" s="68"/>
      <c r="V103" s="68"/>
      <c r="W103" s="66"/>
      <c r="X103" s="8">
        <v>15</v>
      </c>
      <c r="Y103" s="8">
        <v>200</v>
      </c>
      <c r="Z103" s="9">
        <v>3.5</v>
      </c>
      <c r="AA103" s="8"/>
      <c r="AB103" s="104">
        <v>4.75</v>
      </c>
      <c r="AC103" s="8">
        <v>75</v>
      </c>
      <c r="AD103" s="94">
        <f t="shared" si="87"/>
        <v>35</v>
      </c>
      <c r="AE103" s="8" t="s">
        <v>713</v>
      </c>
      <c r="AF103" s="95">
        <f t="shared" si="50"/>
        <v>227.6702377368884</v>
      </c>
      <c r="AG103" s="95">
        <f t="shared" si="88"/>
        <v>120.43500000000002</v>
      </c>
      <c r="AH103" s="95">
        <f t="shared" si="52"/>
        <v>52.215785660533257</v>
      </c>
      <c r="AI103" s="95">
        <f t="shared" si="89"/>
        <v>400.32102339742164</v>
      </c>
      <c r="AJ103" s="7"/>
      <c r="AK103" s="7"/>
      <c r="AL103" s="7"/>
      <c r="AM103" s="7">
        <f>AN12</f>
        <v>277.06836188932402</v>
      </c>
      <c r="AN103" s="95">
        <f t="shared" si="90"/>
        <v>677.38938528674566</v>
      </c>
      <c r="AO103" s="95">
        <f t="shared" si="91"/>
        <v>19.353982436764163</v>
      </c>
      <c r="AP103" s="8" t="s">
        <v>724</v>
      </c>
    </row>
    <row r="104" spans="1:42" ht="15.75" customHeight="1" thickBot="1" x14ac:dyDescent="0.3">
      <c r="A104" s="259" t="str">
        <f t="shared" si="86"/>
        <v>Seeding Air_Hoe_Drill Small, 27-50 ft (requires 350 hp)</v>
      </c>
      <c r="B104" s="260" t="s">
        <v>27</v>
      </c>
      <c r="C104" s="261" t="s">
        <v>294</v>
      </c>
      <c r="D104" s="261" t="s">
        <v>234</v>
      </c>
      <c r="E104" s="262" t="s">
        <v>114</v>
      </c>
      <c r="F104" s="256">
        <v>467500</v>
      </c>
      <c r="G104" s="48">
        <f t="shared" si="79"/>
        <v>470000</v>
      </c>
      <c r="H104" s="11"/>
      <c r="I104" s="60" t="s">
        <v>376</v>
      </c>
      <c r="J104" s="60" t="s">
        <v>598</v>
      </c>
      <c r="K104" s="61"/>
      <c r="L104" s="61"/>
      <c r="M104" s="61"/>
      <c r="N104" s="60"/>
      <c r="O104" s="60"/>
      <c r="P104" s="61"/>
      <c r="Q104" s="61"/>
      <c r="R104" s="61"/>
      <c r="S104" s="60"/>
      <c r="T104" s="60"/>
      <c r="U104" s="61"/>
      <c r="V104" s="61"/>
      <c r="W104" s="11"/>
      <c r="X104" s="8">
        <v>15</v>
      </c>
      <c r="Y104" s="8">
        <v>200</v>
      </c>
      <c r="Z104" s="9">
        <v>3</v>
      </c>
      <c r="AA104" s="8"/>
      <c r="AB104" s="104">
        <v>4.75</v>
      </c>
      <c r="AC104" s="8">
        <v>40</v>
      </c>
      <c r="AD104" s="94">
        <f t="shared" si="87"/>
        <v>18</v>
      </c>
      <c r="AE104" s="8" t="s">
        <v>713</v>
      </c>
      <c r="AF104" s="95">
        <f t="shared" si="50"/>
        <v>154.65829140074879</v>
      </c>
      <c r="AG104" s="95">
        <f t="shared" ref="AG104" si="92">Z104/100*F104/Y104</f>
        <v>70.125</v>
      </c>
      <c r="AH104" s="95">
        <f t="shared" si="52"/>
        <v>33.717493710112315</v>
      </c>
      <c r="AI104" s="95">
        <f t="shared" ref="AI104" si="93">AF104+AG104+AH104</f>
        <v>258.5007851108611</v>
      </c>
      <c r="AJ104" s="7"/>
      <c r="AK104" s="7"/>
      <c r="AL104" s="7"/>
      <c r="AM104" s="7">
        <f>AN11</f>
        <v>238.91465463500677</v>
      </c>
      <c r="AN104" s="95">
        <f t="shared" ref="AN104" si="94">AI104+AM104</f>
        <v>497.41543974586784</v>
      </c>
      <c r="AO104" s="95">
        <f t="shared" si="91"/>
        <v>27.634191096992659</v>
      </c>
      <c r="AP104" s="8" t="s">
        <v>724</v>
      </c>
    </row>
    <row r="105" spans="1:42" ht="15.75" customHeight="1" thickBot="1" x14ac:dyDescent="0.3">
      <c r="A105" s="259" t="str">
        <f t="shared" si="86"/>
        <v>Seeding Air_Hoe_Drill Large, 51-72 ft (requires 450+ hp)</v>
      </c>
      <c r="B105" s="260" t="s">
        <v>27</v>
      </c>
      <c r="C105" s="261" t="s">
        <v>294</v>
      </c>
      <c r="D105" s="261" t="s">
        <v>233</v>
      </c>
      <c r="E105" s="263" t="s">
        <v>115</v>
      </c>
      <c r="F105" s="256">
        <v>688400</v>
      </c>
      <c r="G105" s="48">
        <f t="shared" si="79"/>
        <v>690000</v>
      </c>
      <c r="H105" s="66"/>
      <c r="I105" s="67" t="s">
        <v>13</v>
      </c>
      <c r="J105" s="67" t="s">
        <v>595</v>
      </c>
      <c r="K105" s="68"/>
      <c r="L105" s="68"/>
      <c r="M105" s="68"/>
      <c r="N105" s="67" t="s">
        <v>599</v>
      </c>
      <c r="O105" s="67" t="s">
        <v>600</v>
      </c>
      <c r="P105" s="68"/>
      <c r="Q105" s="68"/>
      <c r="R105" s="68"/>
      <c r="S105" s="67" t="s">
        <v>376</v>
      </c>
      <c r="T105" s="67" t="s">
        <v>601</v>
      </c>
      <c r="U105" s="68"/>
      <c r="V105" s="68"/>
      <c r="W105" s="66"/>
      <c r="X105" s="8">
        <v>15</v>
      </c>
      <c r="Y105" s="8">
        <v>200</v>
      </c>
      <c r="Z105" s="9">
        <v>3</v>
      </c>
      <c r="AA105" s="8"/>
      <c r="AB105" s="104">
        <v>4.75</v>
      </c>
      <c r="AC105" s="8">
        <v>60</v>
      </c>
      <c r="AD105" s="94">
        <f t="shared" si="87"/>
        <v>28</v>
      </c>
      <c r="AE105" s="8" t="s">
        <v>713</v>
      </c>
      <c r="AF105" s="95">
        <f t="shared" si="50"/>
        <v>227.73640171181921</v>
      </c>
      <c r="AG105" s="95">
        <f t="shared" ref="AG105:AG110" si="95">Z105/100*F105/Y105</f>
        <v>103.26</v>
      </c>
      <c r="AH105" s="95">
        <f t="shared" si="52"/>
        <v>49.649460256772876</v>
      </c>
      <c r="AI105" s="95">
        <f t="shared" ref="AI105:AI110" si="96">AF105+AG105+AH105</f>
        <v>380.6458619685921</v>
      </c>
      <c r="AJ105" s="7"/>
      <c r="AK105" s="7"/>
      <c r="AL105" s="7"/>
      <c r="AM105" s="7">
        <f>AN12</f>
        <v>277.06836188932402</v>
      </c>
      <c r="AN105" s="95">
        <f t="shared" ref="AN105:AN110" si="97">AI105+AM105</f>
        <v>657.71422385791607</v>
      </c>
      <c r="AO105" s="95">
        <f t="shared" si="91"/>
        <v>23.489793709211288</v>
      </c>
      <c r="AP105" s="8" t="s">
        <v>724</v>
      </c>
    </row>
    <row r="106" spans="1:42" ht="15.75" customHeight="1" thickBot="1" x14ac:dyDescent="0.3">
      <c r="A106" s="259" t="str">
        <f t="shared" si="86"/>
        <v>Seeding Air_Disc_Drill Small, 30-49 ft (requires 200 hp)</v>
      </c>
      <c r="B106" s="260" t="s">
        <v>27</v>
      </c>
      <c r="C106" s="261" t="s">
        <v>295</v>
      </c>
      <c r="D106" s="261" t="s">
        <v>235</v>
      </c>
      <c r="E106" s="262" t="s">
        <v>116</v>
      </c>
      <c r="F106" s="256">
        <v>577400</v>
      </c>
      <c r="G106" s="48">
        <f>ROUND(F106/5000,0)*5000</f>
        <v>575000</v>
      </c>
      <c r="H106" s="11"/>
      <c r="I106" s="60" t="s">
        <v>376</v>
      </c>
      <c r="J106" s="60" t="s">
        <v>602</v>
      </c>
      <c r="K106" s="61"/>
      <c r="L106" s="61"/>
      <c r="M106" s="61"/>
      <c r="N106" s="60"/>
      <c r="O106" s="60"/>
      <c r="P106" s="61"/>
      <c r="Q106" s="61"/>
      <c r="R106" s="61"/>
      <c r="S106" s="60"/>
      <c r="T106" s="60"/>
      <c r="U106" s="61"/>
      <c r="V106" s="61"/>
      <c r="W106" s="11"/>
      <c r="X106" s="8">
        <v>15</v>
      </c>
      <c r="Y106" s="8">
        <v>200</v>
      </c>
      <c r="Z106" s="9">
        <v>3</v>
      </c>
      <c r="AA106" s="8"/>
      <c r="AB106" s="104">
        <v>4.75</v>
      </c>
      <c r="AC106" s="8">
        <v>40</v>
      </c>
      <c r="AD106" s="94">
        <f t="shared" si="87"/>
        <v>18</v>
      </c>
      <c r="AE106" s="8" t="s">
        <v>713</v>
      </c>
      <c r="AF106" s="95">
        <f t="shared" si="50"/>
        <v>191.01539562522433</v>
      </c>
      <c r="AG106" s="95">
        <f t="shared" si="95"/>
        <v>86.61</v>
      </c>
      <c r="AH106" s="95">
        <f t="shared" si="52"/>
        <v>41.643809343783644</v>
      </c>
      <c r="AI106" s="95">
        <f t="shared" si="96"/>
        <v>319.26920496900794</v>
      </c>
      <c r="AJ106" s="7"/>
      <c r="AK106" s="7"/>
      <c r="AL106" s="7"/>
      <c r="AM106" s="7">
        <f>AN11</f>
        <v>238.91465463500677</v>
      </c>
      <c r="AN106" s="95">
        <f t="shared" si="97"/>
        <v>558.18385960401474</v>
      </c>
      <c r="AO106" s="95">
        <f t="shared" si="91"/>
        <v>31.010214422445262</v>
      </c>
      <c r="AP106" s="8" t="s">
        <v>724</v>
      </c>
    </row>
    <row r="107" spans="1:42" ht="15.75" customHeight="1" thickBot="1" x14ac:dyDescent="0.3">
      <c r="A107" s="259" t="str">
        <f t="shared" si="86"/>
        <v>Seeding Air_Disc_Drill Large, 50-70 ft (requires 300+ hp)</v>
      </c>
      <c r="B107" s="260" t="s">
        <v>27</v>
      </c>
      <c r="C107" s="261" t="s">
        <v>295</v>
      </c>
      <c r="D107" s="261" t="s">
        <v>236</v>
      </c>
      <c r="E107" s="263" t="s">
        <v>117</v>
      </c>
      <c r="F107" s="256">
        <v>915800</v>
      </c>
      <c r="G107" s="48">
        <f t="shared" si="79"/>
        <v>915000</v>
      </c>
      <c r="H107" s="66"/>
      <c r="I107" s="67" t="s">
        <v>596</v>
      </c>
      <c r="J107" s="67" t="s">
        <v>603</v>
      </c>
      <c r="K107" s="68"/>
      <c r="L107" s="68"/>
      <c r="M107" s="68"/>
      <c r="N107" s="67" t="s">
        <v>376</v>
      </c>
      <c r="O107" s="67" t="s">
        <v>604</v>
      </c>
      <c r="P107" s="68"/>
      <c r="Q107" s="68"/>
      <c r="R107" s="68"/>
      <c r="S107" s="67"/>
      <c r="T107" s="67"/>
      <c r="U107" s="68"/>
      <c r="V107" s="68"/>
      <c r="W107" s="66"/>
      <c r="X107" s="8">
        <v>15</v>
      </c>
      <c r="Y107" s="8">
        <v>200</v>
      </c>
      <c r="Z107" s="9">
        <v>3</v>
      </c>
      <c r="AA107" s="8"/>
      <c r="AB107" s="104">
        <v>4.75</v>
      </c>
      <c r="AC107" s="8">
        <v>60</v>
      </c>
      <c r="AD107" s="94">
        <f t="shared" si="87"/>
        <v>28</v>
      </c>
      <c r="AE107" s="8" t="s">
        <v>713</v>
      </c>
      <c r="AF107" s="95">
        <f t="shared" si="50"/>
        <v>302.96484120814068</v>
      </c>
      <c r="AG107" s="95">
        <f t="shared" si="95"/>
        <v>137.37</v>
      </c>
      <c r="AH107" s="95">
        <f t="shared" si="52"/>
        <v>66.050226181221106</v>
      </c>
      <c r="AI107" s="95">
        <f t="shared" si="96"/>
        <v>506.38506738936178</v>
      </c>
      <c r="AJ107" s="7"/>
      <c r="AK107" s="7"/>
      <c r="AL107" s="7"/>
      <c r="AM107" s="7">
        <f>AN11</f>
        <v>238.91465463500677</v>
      </c>
      <c r="AN107" s="95">
        <f t="shared" si="97"/>
        <v>745.29972202436852</v>
      </c>
      <c r="AO107" s="95">
        <f t="shared" si="91"/>
        <v>26.617847215156019</v>
      </c>
      <c r="AP107" s="8" t="s">
        <v>724</v>
      </c>
    </row>
    <row r="108" spans="1:42" ht="15.75" customHeight="1" thickBot="1" x14ac:dyDescent="0.3">
      <c r="A108" s="259" t="str">
        <f t="shared" si="86"/>
        <v>Seeding Air_Seeder Small, 25-40 ft (requires 275 hp)</v>
      </c>
      <c r="B108" s="260" t="s">
        <v>27</v>
      </c>
      <c r="C108" s="261" t="s">
        <v>296</v>
      </c>
      <c r="D108" s="261" t="s">
        <v>237</v>
      </c>
      <c r="E108" s="262" t="s">
        <v>118</v>
      </c>
      <c r="F108" s="256">
        <v>384500</v>
      </c>
      <c r="G108" s="48">
        <f t="shared" si="79"/>
        <v>385000</v>
      </c>
      <c r="H108" s="11"/>
      <c r="I108" s="60" t="s">
        <v>593</v>
      </c>
      <c r="J108" s="60" t="s">
        <v>594</v>
      </c>
      <c r="K108" s="61"/>
      <c r="L108" s="61"/>
      <c r="M108" s="61"/>
      <c r="N108" s="60"/>
      <c r="O108" s="60"/>
      <c r="P108" s="61"/>
      <c r="Q108" s="61"/>
      <c r="R108" s="61"/>
      <c r="S108" s="60"/>
      <c r="T108" s="60"/>
      <c r="U108" s="61"/>
      <c r="V108" s="61"/>
      <c r="W108" s="11"/>
      <c r="X108" s="8">
        <v>15</v>
      </c>
      <c r="Y108" s="8">
        <v>200</v>
      </c>
      <c r="Z108" s="9">
        <v>3</v>
      </c>
      <c r="AA108" s="8"/>
      <c r="AB108" s="104">
        <v>4.75</v>
      </c>
      <c r="AC108" s="8">
        <v>33</v>
      </c>
      <c r="AD108" s="94">
        <f t="shared" si="87"/>
        <v>15</v>
      </c>
      <c r="AE108" s="8" t="s">
        <v>713</v>
      </c>
      <c r="AF108" s="95">
        <f t="shared" si="50"/>
        <v>127.20024180446612</v>
      </c>
      <c r="AG108" s="95">
        <f t="shared" si="95"/>
        <v>57.674999999999997</v>
      </c>
      <c r="AH108" s="95">
        <f t="shared" si="52"/>
        <v>27.731286270669916</v>
      </c>
      <c r="AI108" s="95">
        <f t="shared" si="96"/>
        <v>212.60652807513603</v>
      </c>
      <c r="AJ108" s="7"/>
      <c r="AK108" s="7"/>
      <c r="AL108" s="7"/>
      <c r="AM108" s="7">
        <f>AN11</f>
        <v>238.91465463500677</v>
      </c>
      <c r="AN108" s="95">
        <f t="shared" si="97"/>
        <v>451.5211827101428</v>
      </c>
      <c r="AO108" s="95">
        <f t="shared" si="91"/>
        <v>30.101412180676185</v>
      </c>
      <c r="AP108" s="8" t="s">
        <v>724</v>
      </c>
    </row>
    <row r="109" spans="1:42" ht="15.75" customHeight="1" thickBot="1" x14ac:dyDescent="0.3">
      <c r="A109" s="259" t="str">
        <f t="shared" si="86"/>
        <v>Seeding Air_Seeder Medium, 41-59 ft (requires 400 hp)</v>
      </c>
      <c r="B109" s="260" t="s">
        <v>27</v>
      </c>
      <c r="C109" s="261" t="s">
        <v>296</v>
      </c>
      <c r="D109" s="261" t="s">
        <v>238</v>
      </c>
      <c r="E109" s="264" t="s">
        <v>119</v>
      </c>
      <c r="F109" s="256">
        <v>610500</v>
      </c>
      <c r="G109" s="48">
        <f t="shared" si="79"/>
        <v>610000</v>
      </c>
      <c r="H109" s="63"/>
      <c r="I109" s="64" t="s">
        <v>13</v>
      </c>
      <c r="J109" s="64" t="s">
        <v>605</v>
      </c>
      <c r="K109" s="65"/>
      <c r="L109" s="65"/>
      <c r="M109" s="65"/>
      <c r="N109" s="64"/>
      <c r="O109" s="64"/>
      <c r="P109" s="65"/>
      <c r="Q109" s="65"/>
      <c r="R109" s="65"/>
      <c r="S109" s="64"/>
      <c r="T109" s="64"/>
      <c r="U109" s="65"/>
      <c r="V109" s="65"/>
      <c r="W109" s="63"/>
      <c r="X109" s="8">
        <v>15</v>
      </c>
      <c r="Y109" s="8">
        <v>200</v>
      </c>
      <c r="Z109" s="9">
        <v>3</v>
      </c>
      <c r="AA109" s="8"/>
      <c r="AB109" s="104">
        <v>4.75</v>
      </c>
      <c r="AC109" s="8">
        <v>50</v>
      </c>
      <c r="AD109" s="94">
        <f t="shared" si="87"/>
        <v>23</v>
      </c>
      <c r="AE109" s="8" t="s">
        <v>713</v>
      </c>
      <c r="AF109" s="95">
        <f t="shared" si="50"/>
        <v>201.96553347627199</v>
      </c>
      <c r="AG109" s="95">
        <f t="shared" si="95"/>
        <v>91.575000000000003</v>
      </c>
      <c r="AH109" s="95">
        <f t="shared" si="52"/>
        <v>44.0310800214408</v>
      </c>
      <c r="AI109" s="95">
        <f t="shared" si="96"/>
        <v>337.5716134977128</v>
      </c>
      <c r="AJ109" s="7"/>
      <c r="AK109" s="7"/>
      <c r="AL109" s="7"/>
      <c r="AM109" s="7">
        <f>AN11</f>
        <v>238.91465463500677</v>
      </c>
      <c r="AN109" s="95">
        <f t="shared" si="97"/>
        <v>576.4862681327196</v>
      </c>
      <c r="AO109" s="95">
        <f t="shared" si="91"/>
        <v>25.064620353596503</v>
      </c>
      <c r="AP109" s="8" t="s">
        <v>724</v>
      </c>
    </row>
    <row r="110" spans="1:42" ht="15.75" customHeight="1" thickBot="1" x14ac:dyDescent="0.3">
      <c r="A110" s="259" t="str">
        <f t="shared" si="86"/>
        <v>Seeding Air_Seeder Large, 60-70 ft (requires 450+ hp)</v>
      </c>
      <c r="B110" s="260" t="s">
        <v>27</v>
      </c>
      <c r="C110" s="261" t="s">
        <v>296</v>
      </c>
      <c r="D110" s="261" t="s">
        <v>239</v>
      </c>
      <c r="E110" s="263" t="s">
        <v>120</v>
      </c>
      <c r="F110" s="256">
        <v>726000</v>
      </c>
      <c r="G110" s="48">
        <f t="shared" si="79"/>
        <v>725000</v>
      </c>
      <c r="H110" s="66"/>
      <c r="I110" s="67" t="s">
        <v>13</v>
      </c>
      <c r="J110" s="67" t="s">
        <v>605</v>
      </c>
      <c r="K110" s="68"/>
      <c r="L110" s="68"/>
      <c r="M110" s="68"/>
      <c r="N110" s="67"/>
      <c r="O110" s="67"/>
      <c r="P110" s="68"/>
      <c r="Q110" s="68"/>
      <c r="R110" s="68"/>
      <c r="S110" s="67"/>
      <c r="T110" s="67"/>
      <c r="U110" s="68"/>
      <c r="V110" s="68"/>
      <c r="W110" s="66"/>
      <c r="X110" s="8">
        <v>15</v>
      </c>
      <c r="Y110" s="8">
        <v>200</v>
      </c>
      <c r="Z110" s="9">
        <v>3</v>
      </c>
      <c r="AA110" s="8"/>
      <c r="AB110" s="104">
        <v>4.75</v>
      </c>
      <c r="AC110" s="8">
        <v>65</v>
      </c>
      <c r="AD110" s="94">
        <f t="shared" si="87"/>
        <v>30</v>
      </c>
      <c r="AE110" s="8" t="s">
        <v>713</v>
      </c>
      <c r="AF110" s="95">
        <f t="shared" si="50"/>
        <v>240.17522899880987</v>
      </c>
      <c r="AG110" s="95">
        <f t="shared" si="95"/>
        <v>108.9</v>
      </c>
      <c r="AH110" s="95">
        <f t="shared" si="52"/>
        <v>52.361284349821474</v>
      </c>
      <c r="AI110" s="95">
        <f t="shared" si="96"/>
        <v>401.43651334863131</v>
      </c>
      <c r="AJ110" s="7"/>
      <c r="AK110" s="7"/>
      <c r="AL110" s="7"/>
      <c r="AM110" s="7">
        <f>AN12</f>
        <v>277.06836188932402</v>
      </c>
      <c r="AN110" s="95">
        <f t="shared" si="97"/>
        <v>678.50487523795528</v>
      </c>
      <c r="AO110" s="95">
        <f t="shared" si="91"/>
        <v>22.616829174598511</v>
      </c>
      <c r="AP110" s="8" t="s">
        <v>724</v>
      </c>
    </row>
    <row r="111" spans="1:42" ht="15.75" customHeight="1" thickBot="1" x14ac:dyDescent="0.3">
      <c r="A111" s="259" t="str">
        <f t="shared" si="86"/>
        <v>Seeding Row_Crop_Planter 12 row planter (requires 150 hp)</v>
      </c>
      <c r="B111" s="260" t="s">
        <v>27</v>
      </c>
      <c r="C111" s="261" t="s">
        <v>297</v>
      </c>
      <c r="D111" s="261" t="s">
        <v>240</v>
      </c>
      <c r="E111" s="272"/>
      <c r="F111" s="256">
        <v>185200</v>
      </c>
      <c r="G111" s="48">
        <f>ROUND(F111/5000,0)*5000</f>
        <v>185000</v>
      </c>
      <c r="H111" s="11"/>
      <c r="I111" s="60" t="s">
        <v>13</v>
      </c>
      <c r="J111" s="60" t="s">
        <v>606</v>
      </c>
      <c r="K111" s="61"/>
      <c r="L111" s="61"/>
      <c r="M111" s="61"/>
      <c r="N111" s="60"/>
      <c r="O111" s="60"/>
      <c r="P111" s="61"/>
      <c r="Q111" s="61"/>
      <c r="R111" s="61"/>
      <c r="S111" s="60"/>
      <c r="T111" s="60"/>
      <c r="U111" s="61"/>
      <c r="V111" s="61"/>
      <c r="W111" s="11"/>
      <c r="X111" s="8">
        <v>10</v>
      </c>
      <c r="Y111" s="8">
        <v>100</v>
      </c>
      <c r="Z111" s="9">
        <v>4</v>
      </c>
      <c r="AA111" s="8"/>
      <c r="AB111" s="104">
        <v>5</v>
      </c>
      <c r="AC111" s="8">
        <v>30</v>
      </c>
      <c r="AD111" s="94">
        <f t="shared" si="87"/>
        <v>15</v>
      </c>
      <c r="AE111" s="8" t="s">
        <v>713</v>
      </c>
      <c r="AF111" s="95">
        <f t="shared" ref="AF111:AF142" si="98">(F111*Fraction_dep_over_optimal_life/X111/Y111)+IF(Machinery_Financed_percentage=0,0,(-CUMIPMT(Interest_Rate/2,Payback_loan_period_years*2,F111*Machinery_Financed_percentage,1,Payback_loan_period_years*2,0)/X111/Y111))+((F111*(1-Machinery_Financed_percentage)*(1+Opportunity_Rate/12)^(Opp_inv_period_years*12)-(F111*(1-Machinery_Financed_percentage)))/X111/Y111)+(Insurance_and_Housing*F111/Y111)</f>
        <v>174.54352235776693</v>
      </c>
      <c r="AG111" s="95">
        <f t="shared" ref="AG111:AG115" si="99">Z111/100*F111/Y111</f>
        <v>74.08</v>
      </c>
      <c r="AH111" s="95">
        <f t="shared" ref="AH111:AH142" si="100">Margin_percentage*(AF111+AG111)</f>
        <v>37.293528353665039</v>
      </c>
      <c r="AI111" s="95">
        <f t="shared" ref="AI111:AI115" si="101">AF111+AG111+AH111</f>
        <v>285.91705071143201</v>
      </c>
      <c r="AJ111" s="7"/>
      <c r="AK111" s="7"/>
      <c r="AL111" s="7"/>
      <c r="AM111" s="7">
        <f>AN8</f>
        <v>124.35989319840716</v>
      </c>
      <c r="AN111" s="95">
        <f t="shared" ref="AN111:AN115" si="102">AI111+AM111</f>
        <v>410.27694390983919</v>
      </c>
      <c r="AO111" s="95">
        <f t="shared" si="91"/>
        <v>27.351796260655945</v>
      </c>
      <c r="AP111" s="8" t="s">
        <v>724</v>
      </c>
    </row>
    <row r="112" spans="1:42" ht="15.75" customHeight="1" thickBot="1" x14ac:dyDescent="0.3">
      <c r="A112" s="259" t="str">
        <f t="shared" si="86"/>
        <v>Seeding Row_Crop_Planter 16 row planter (requires 180 hp)</v>
      </c>
      <c r="B112" s="260" t="s">
        <v>27</v>
      </c>
      <c r="C112" s="261" t="s">
        <v>297</v>
      </c>
      <c r="D112" s="261" t="s">
        <v>241</v>
      </c>
      <c r="E112" s="273"/>
      <c r="F112" s="256">
        <v>231400</v>
      </c>
      <c r="G112" s="48">
        <f t="shared" si="79"/>
        <v>230000</v>
      </c>
      <c r="H112" s="63"/>
      <c r="I112" s="64" t="s">
        <v>13</v>
      </c>
      <c r="J112" s="64" t="s">
        <v>607</v>
      </c>
      <c r="K112" s="65"/>
      <c r="L112" s="65"/>
      <c r="M112" s="65"/>
      <c r="N112" s="64"/>
      <c r="O112" s="64"/>
      <c r="P112" s="65"/>
      <c r="Q112" s="65"/>
      <c r="R112" s="65"/>
      <c r="S112" s="64"/>
      <c r="T112" s="64"/>
      <c r="U112" s="65"/>
      <c r="V112" s="65"/>
      <c r="W112" s="63"/>
      <c r="X112" s="8">
        <v>10</v>
      </c>
      <c r="Y112" s="8">
        <v>100</v>
      </c>
      <c r="Z112" s="9">
        <v>4</v>
      </c>
      <c r="AA112" s="8"/>
      <c r="AB112" s="104">
        <v>5</v>
      </c>
      <c r="AC112" s="8">
        <v>40</v>
      </c>
      <c r="AD112" s="94">
        <f t="shared" si="87"/>
        <v>19</v>
      </c>
      <c r="AE112" s="8" t="s">
        <v>713</v>
      </c>
      <c r="AF112" s="95">
        <f t="shared" si="98"/>
        <v>218.08515698481244</v>
      </c>
      <c r="AG112" s="95">
        <f t="shared" si="99"/>
        <v>92.56</v>
      </c>
      <c r="AH112" s="95">
        <f t="shared" si="100"/>
        <v>46.596773547721867</v>
      </c>
      <c r="AI112" s="95">
        <f t="shared" si="101"/>
        <v>357.2419305325343</v>
      </c>
      <c r="AJ112" s="7"/>
      <c r="AK112" s="7"/>
      <c r="AL112" s="7"/>
      <c r="AM112" s="7">
        <f>AN9</f>
        <v>155.14636807957388</v>
      </c>
      <c r="AN112" s="95">
        <f t="shared" si="102"/>
        <v>512.3882986121082</v>
      </c>
      <c r="AO112" s="95">
        <f t="shared" si="91"/>
        <v>26.967805190110958</v>
      </c>
      <c r="AP112" s="8" t="s">
        <v>724</v>
      </c>
    </row>
    <row r="113" spans="1:42" ht="15.75" customHeight="1" thickBot="1" x14ac:dyDescent="0.3">
      <c r="A113" s="259" t="str">
        <f t="shared" si="86"/>
        <v>Seeding Row_Crop_Planter 24 row planter (requires 230 hp)</v>
      </c>
      <c r="B113" s="260" t="s">
        <v>27</v>
      </c>
      <c r="C113" s="261" t="s">
        <v>297</v>
      </c>
      <c r="D113" s="261" t="s">
        <v>242</v>
      </c>
      <c r="E113" s="273"/>
      <c r="F113" s="256">
        <v>304700</v>
      </c>
      <c r="G113" s="48">
        <f t="shared" si="79"/>
        <v>305000</v>
      </c>
      <c r="H113" s="63"/>
      <c r="I113" s="64" t="s">
        <v>13</v>
      </c>
      <c r="J113" s="64" t="s">
        <v>608</v>
      </c>
      <c r="K113" s="65"/>
      <c r="L113" s="65"/>
      <c r="M113" s="65"/>
      <c r="N113" s="64"/>
      <c r="O113" s="64"/>
      <c r="P113" s="65"/>
      <c r="Q113" s="65"/>
      <c r="R113" s="65"/>
      <c r="S113" s="64"/>
      <c r="T113" s="64"/>
      <c r="U113" s="65"/>
      <c r="V113" s="65"/>
      <c r="W113" s="63"/>
      <c r="X113" s="8">
        <v>10</v>
      </c>
      <c r="Y113" s="8">
        <v>100</v>
      </c>
      <c r="Z113" s="9">
        <v>4</v>
      </c>
      <c r="AA113" s="8"/>
      <c r="AB113" s="104">
        <v>5</v>
      </c>
      <c r="AC113" s="8">
        <v>60</v>
      </c>
      <c r="AD113" s="94">
        <f t="shared" si="87"/>
        <v>29</v>
      </c>
      <c r="AE113" s="8" t="s">
        <v>713</v>
      </c>
      <c r="AF113" s="95">
        <f t="shared" si="98"/>
        <v>287.16744742122876</v>
      </c>
      <c r="AG113" s="95">
        <f t="shared" si="99"/>
        <v>121.88</v>
      </c>
      <c r="AH113" s="95">
        <f t="shared" si="100"/>
        <v>61.357117113184309</v>
      </c>
      <c r="AI113" s="95">
        <f t="shared" si="101"/>
        <v>470.40456453441305</v>
      </c>
      <c r="AJ113" s="7"/>
      <c r="AK113" s="7"/>
      <c r="AL113" s="7"/>
      <c r="AM113" s="7">
        <f>AN10</f>
        <v>209.41102576780244</v>
      </c>
      <c r="AN113" s="95">
        <f t="shared" si="102"/>
        <v>679.81559030221547</v>
      </c>
      <c r="AO113" s="95">
        <f t="shared" si="91"/>
        <v>23.441916906972946</v>
      </c>
      <c r="AP113" s="8" t="s">
        <v>724</v>
      </c>
    </row>
    <row r="114" spans="1:42" ht="15.75" customHeight="1" thickBot="1" x14ac:dyDescent="0.3">
      <c r="A114" s="259" t="str">
        <f t="shared" si="86"/>
        <v>Seeding Row_Crop_Planter 12/24 split row planter (requires 210 hp)</v>
      </c>
      <c r="B114" s="260" t="s">
        <v>27</v>
      </c>
      <c r="C114" s="261" t="s">
        <v>297</v>
      </c>
      <c r="D114" s="261" t="s">
        <v>243</v>
      </c>
      <c r="E114" s="273"/>
      <c r="F114" s="256">
        <v>266000</v>
      </c>
      <c r="G114" s="48">
        <f t="shared" si="79"/>
        <v>265000</v>
      </c>
      <c r="H114" s="63"/>
      <c r="I114" s="64" t="s">
        <v>609</v>
      </c>
      <c r="J114" s="64" t="s">
        <v>610</v>
      </c>
      <c r="K114" s="65"/>
      <c r="L114" s="65"/>
      <c r="M114" s="65"/>
      <c r="N114" s="64"/>
      <c r="O114" s="64"/>
      <c r="P114" s="65"/>
      <c r="Q114" s="65"/>
      <c r="R114" s="65"/>
      <c r="S114" s="64"/>
      <c r="T114" s="64"/>
      <c r="U114" s="65"/>
      <c r="V114" s="65"/>
      <c r="W114" s="63"/>
      <c r="X114" s="8">
        <v>10</v>
      </c>
      <c r="Y114" s="8">
        <v>100</v>
      </c>
      <c r="Z114" s="9">
        <v>4</v>
      </c>
      <c r="AA114" s="8"/>
      <c r="AB114" s="104">
        <v>5</v>
      </c>
      <c r="AC114" s="8">
        <v>30</v>
      </c>
      <c r="AD114" s="94">
        <f t="shared" si="87"/>
        <v>15</v>
      </c>
      <c r="AE114" s="8" t="s">
        <v>713</v>
      </c>
      <c r="AF114" s="95">
        <f t="shared" si="98"/>
        <v>250.69425997389851</v>
      </c>
      <c r="AG114" s="95">
        <f t="shared" si="99"/>
        <v>106.4</v>
      </c>
      <c r="AH114" s="95">
        <f t="shared" si="100"/>
        <v>53.564138996084772</v>
      </c>
      <c r="AI114" s="95">
        <f t="shared" si="101"/>
        <v>410.65839896998324</v>
      </c>
      <c r="AJ114" s="7"/>
      <c r="AK114" s="7"/>
      <c r="AL114" s="7"/>
      <c r="AM114" s="7">
        <f>AN9</f>
        <v>155.14636807957388</v>
      </c>
      <c r="AN114" s="95">
        <f t="shared" si="102"/>
        <v>565.80476704955709</v>
      </c>
      <c r="AO114" s="95">
        <f t="shared" si="91"/>
        <v>37.720317803303807</v>
      </c>
      <c r="AP114" s="8" t="s">
        <v>724</v>
      </c>
    </row>
    <row r="115" spans="1:42" ht="15.75" customHeight="1" thickBot="1" x14ac:dyDescent="0.3">
      <c r="A115" s="259" t="str">
        <f t="shared" si="86"/>
        <v>Seeding Row_Crop_Planter 16/32 split row planter (requires 250 hp)</v>
      </c>
      <c r="B115" s="260" t="s">
        <v>27</v>
      </c>
      <c r="C115" s="261" t="s">
        <v>297</v>
      </c>
      <c r="D115" s="261" t="s">
        <v>244</v>
      </c>
      <c r="E115" s="274"/>
      <c r="F115" s="256">
        <v>328700</v>
      </c>
      <c r="G115" s="48">
        <f>ROUND(F115/5000,0)*5000</f>
        <v>330000</v>
      </c>
      <c r="H115" s="66"/>
      <c r="I115" s="67" t="s">
        <v>609</v>
      </c>
      <c r="J115" s="67" t="s">
        <v>611</v>
      </c>
      <c r="K115" s="65"/>
      <c r="L115" s="68"/>
      <c r="M115" s="65"/>
      <c r="N115" s="67"/>
      <c r="O115" s="67"/>
      <c r="P115" s="68"/>
      <c r="Q115" s="68"/>
      <c r="R115" s="68"/>
      <c r="S115" s="67"/>
      <c r="T115" s="67"/>
      <c r="U115" s="68"/>
      <c r="V115" s="68"/>
      <c r="W115" s="66"/>
      <c r="X115" s="8">
        <v>10</v>
      </c>
      <c r="Y115" s="8">
        <v>100</v>
      </c>
      <c r="Z115" s="9">
        <v>4</v>
      </c>
      <c r="AA115" s="8"/>
      <c r="AB115" s="104">
        <v>5</v>
      </c>
      <c r="AC115" s="8">
        <v>40</v>
      </c>
      <c r="AD115" s="94">
        <f t="shared" si="87"/>
        <v>19</v>
      </c>
      <c r="AE115" s="8" t="s">
        <v>713</v>
      </c>
      <c r="AF115" s="95">
        <f t="shared" si="98"/>
        <v>309.78647839631736</v>
      </c>
      <c r="AG115" s="95">
        <f t="shared" si="99"/>
        <v>131.47999999999999</v>
      </c>
      <c r="AH115" s="95">
        <f t="shared" si="100"/>
        <v>66.189971759447602</v>
      </c>
      <c r="AI115" s="95">
        <f t="shared" si="101"/>
        <v>507.45645015576491</v>
      </c>
      <c r="AJ115" s="7"/>
      <c r="AK115" s="7"/>
      <c r="AL115" s="7"/>
      <c r="AM115" s="7">
        <f>AN10</f>
        <v>209.41102576780244</v>
      </c>
      <c r="AN115" s="95">
        <f t="shared" si="102"/>
        <v>716.86747592356733</v>
      </c>
      <c r="AO115" s="95">
        <f t="shared" si="91"/>
        <v>37.729867153871965</v>
      </c>
      <c r="AP115" s="8" t="s">
        <v>724</v>
      </c>
    </row>
    <row r="116" spans="1:42" ht="15.75" customHeight="1" thickBot="1" x14ac:dyDescent="0.3">
      <c r="A116" s="259" t="str">
        <f t="shared" si="86"/>
        <v>Soil_Preparation Cultivator_Field_with_tine_harrows Small, 24-35 ft (requires 160 hp)</v>
      </c>
      <c r="B116" s="260" t="s">
        <v>282</v>
      </c>
      <c r="C116" s="261" t="s">
        <v>352</v>
      </c>
      <c r="D116" s="261" t="s">
        <v>245</v>
      </c>
      <c r="E116" s="262" t="s">
        <v>121</v>
      </c>
      <c r="F116" s="256">
        <v>112400</v>
      </c>
      <c r="G116" s="48">
        <f t="shared" si="79"/>
        <v>110000</v>
      </c>
      <c r="H116" s="11"/>
      <c r="I116" s="60" t="s">
        <v>13</v>
      </c>
      <c r="J116" s="60" t="s">
        <v>612</v>
      </c>
      <c r="K116" s="61"/>
      <c r="L116" s="61"/>
      <c r="M116" s="61"/>
      <c r="N116" s="60"/>
      <c r="O116" s="60"/>
      <c r="P116" s="61"/>
      <c r="Q116" s="61"/>
      <c r="R116" s="61"/>
      <c r="S116" s="60"/>
      <c r="T116" s="60"/>
      <c r="U116" s="61"/>
      <c r="V116" s="61"/>
      <c r="W116" s="11"/>
      <c r="X116" s="8">
        <v>20</v>
      </c>
      <c r="Y116" s="8">
        <v>200</v>
      </c>
      <c r="Z116" s="9">
        <v>1.5</v>
      </c>
      <c r="AA116" s="8"/>
      <c r="AB116" s="104">
        <v>6</v>
      </c>
      <c r="AC116" s="8">
        <v>30</v>
      </c>
      <c r="AD116" s="94">
        <f t="shared" si="87"/>
        <v>17</v>
      </c>
      <c r="AE116" s="8" t="s">
        <v>713</v>
      </c>
      <c r="AF116" s="95">
        <f t="shared" si="98"/>
        <v>29.293115433332883</v>
      </c>
      <c r="AG116" s="95">
        <f t="shared" ref="AG116" si="103">Z116/100*F116/Y116</f>
        <v>8.43</v>
      </c>
      <c r="AH116" s="95">
        <f t="shared" si="100"/>
        <v>5.6584673149999318</v>
      </c>
      <c r="AI116" s="95">
        <f t="shared" ref="AI116" si="104">AF116+AG116+AH116</f>
        <v>43.381582748332811</v>
      </c>
      <c r="AJ116" s="7"/>
      <c r="AK116" s="7"/>
      <c r="AL116" s="7"/>
      <c r="AM116" s="7">
        <f>AN9</f>
        <v>155.14636807957388</v>
      </c>
      <c r="AN116" s="95">
        <f t="shared" ref="AN116" si="105">AI116+AM116</f>
        <v>198.52795082790669</v>
      </c>
      <c r="AO116" s="95">
        <f t="shared" si="91"/>
        <v>11.678114754582747</v>
      </c>
      <c r="AP116" s="8" t="s">
        <v>724</v>
      </c>
    </row>
    <row r="117" spans="1:42" ht="15.75" customHeight="1" thickBot="1" x14ac:dyDescent="0.3">
      <c r="A117" s="259" t="str">
        <f t="shared" ref="A117:A131" si="106">B117&amp;" "&amp;C117&amp;" "&amp;D117</f>
        <v>Soil_Preparation Cultivator_Field_with_tine_harrows Medium, 36-49 ft (requires 185 hp)</v>
      </c>
      <c r="B117" s="260" t="s">
        <v>282</v>
      </c>
      <c r="C117" s="261" t="s">
        <v>352</v>
      </c>
      <c r="D117" s="261" t="s">
        <v>246</v>
      </c>
      <c r="E117" s="264" t="s">
        <v>122</v>
      </c>
      <c r="F117" s="256">
        <v>175900</v>
      </c>
      <c r="G117" s="48">
        <f t="shared" si="79"/>
        <v>175000</v>
      </c>
      <c r="H117" s="63"/>
      <c r="I117" s="64" t="s">
        <v>13</v>
      </c>
      <c r="J117" s="64" t="s">
        <v>613</v>
      </c>
      <c r="K117" s="65"/>
      <c r="L117" s="65"/>
      <c r="M117" s="65"/>
      <c r="N117" s="64"/>
      <c r="O117" s="64"/>
      <c r="P117" s="65"/>
      <c r="Q117" s="65"/>
      <c r="R117" s="65"/>
      <c r="S117" s="64"/>
      <c r="T117" s="64"/>
      <c r="U117" s="65"/>
      <c r="V117" s="65"/>
      <c r="W117" s="63"/>
      <c r="X117" s="8">
        <v>20</v>
      </c>
      <c r="Y117" s="8">
        <v>200</v>
      </c>
      <c r="Z117" s="9">
        <v>1.5</v>
      </c>
      <c r="AA117" s="8"/>
      <c r="AB117" s="104">
        <v>6</v>
      </c>
      <c r="AC117" s="8">
        <v>43</v>
      </c>
      <c r="AD117" s="94">
        <f t="shared" si="87"/>
        <v>25</v>
      </c>
      <c r="AE117" s="8" t="s">
        <v>713</v>
      </c>
      <c r="AF117" s="95">
        <f t="shared" si="98"/>
        <v>45.842161963730028</v>
      </c>
      <c r="AG117" s="95">
        <f t="shared" ref="AG117:AG118" si="107">Z117/100*F117/Y117</f>
        <v>13.192500000000001</v>
      </c>
      <c r="AH117" s="95">
        <f t="shared" si="100"/>
        <v>8.8551992945595046</v>
      </c>
      <c r="AI117" s="95">
        <f t="shared" ref="AI117:AI118" si="108">AF117+AG117+AH117</f>
        <v>67.889861258289528</v>
      </c>
      <c r="AJ117" s="7"/>
      <c r="AK117" s="7"/>
      <c r="AL117" s="7"/>
      <c r="AM117" s="7">
        <f>AN9</f>
        <v>155.14636807957388</v>
      </c>
      <c r="AN117" s="95">
        <f t="shared" ref="AN117:AN118" si="109">AI117+AM117</f>
        <v>223.0362293378634</v>
      </c>
      <c r="AO117" s="95">
        <f t="shared" si="91"/>
        <v>8.9214491735145369</v>
      </c>
      <c r="AP117" s="8" t="s">
        <v>724</v>
      </c>
    </row>
    <row r="118" spans="1:42" ht="15.75" customHeight="1" thickBot="1" x14ac:dyDescent="0.3">
      <c r="A118" s="259" t="str">
        <f t="shared" si="106"/>
        <v>Soil_Preparation Cultivator_Field_with_tine_harrows Large, 50-62 ft (requires 220 hp)</v>
      </c>
      <c r="B118" s="260" t="s">
        <v>282</v>
      </c>
      <c r="C118" s="261" t="s">
        <v>352</v>
      </c>
      <c r="D118" s="261" t="s">
        <v>247</v>
      </c>
      <c r="E118" s="263" t="s">
        <v>123</v>
      </c>
      <c r="F118" s="256">
        <v>217800</v>
      </c>
      <c r="G118" s="48">
        <f t="shared" si="79"/>
        <v>220000</v>
      </c>
      <c r="H118" s="66"/>
      <c r="I118" s="67" t="s">
        <v>614</v>
      </c>
      <c r="J118" s="67" t="s">
        <v>615</v>
      </c>
      <c r="K118" s="68"/>
      <c r="L118" s="68"/>
      <c r="M118" s="68"/>
      <c r="N118" s="67" t="s">
        <v>13</v>
      </c>
      <c r="O118" s="67" t="s">
        <v>616</v>
      </c>
      <c r="P118" s="68"/>
      <c r="Q118" s="68"/>
      <c r="R118" s="68"/>
      <c r="S118" s="67"/>
      <c r="T118" s="67"/>
      <c r="U118" s="68"/>
      <c r="V118" s="68"/>
      <c r="W118" s="66"/>
      <c r="X118" s="8">
        <v>20</v>
      </c>
      <c r="Y118" s="8">
        <v>200</v>
      </c>
      <c r="Z118" s="9">
        <v>1.5</v>
      </c>
      <c r="AA118" s="8"/>
      <c r="AB118" s="104">
        <v>6</v>
      </c>
      <c r="AC118" s="8">
        <v>56</v>
      </c>
      <c r="AD118" s="94">
        <f t="shared" si="87"/>
        <v>33</v>
      </c>
      <c r="AE118" s="8" t="s">
        <v>713</v>
      </c>
      <c r="AF118" s="95">
        <f t="shared" si="98"/>
        <v>56.761926524732225</v>
      </c>
      <c r="AG118" s="95">
        <f t="shared" si="107"/>
        <v>16.335000000000001</v>
      </c>
      <c r="AH118" s="95">
        <f t="shared" si="100"/>
        <v>10.964538978709834</v>
      </c>
      <c r="AI118" s="95">
        <f t="shared" si="108"/>
        <v>84.061465503442065</v>
      </c>
      <c r="AJ118" s="7"/>
      <c r="AK118" s="7"/>
      <c r="AL118" s="7"/>
      <c r="AM118" s="7">
        <f>AN9</f>
        <v>155.14636807957388</v>
      </c>
      <c r="AN118" s="95">
        <f t="shared" si="109"/>
        <v>239.20783358301594</v>
      </c>
      <c r="AO118" s="95">
        <f t="shared" si="91"/>
        <v>7.2487222297883616</v>
      </c>
      <c r="AP118" s="8" t="s">
        <v>724</v>
      </c>
    </row>
    <row r="119" spans="1:42" ht="15.75" customHeight="1" thickBot="1" x14ac:dyDescent="0.3">
      <c r="A119" s="259" t="str">
        <f t="shared" si="106"/>
        <v>Soil_Preparation Cultivator_Heavy_Duty_with_tine_harrows Small, 23-40 ft (requires 230 hp)</v>
      </c>
      <c r="B119" s="260" t="s">
        <v>282</v>
      </c>
      <c r="C119" s="261" t="s">
        <v>353</v>
      </c>
      <c r="D119" s="261" t="s">
        <v>248</v>
      </c>
      <c r="E119" s="262" t="s">
        <v>124</v>
      </c>
      <c r="F119" s="256">
        <v>108800</v>
      </c>
      <c r="G119" s="48">
        <f t="shared" si="79"/>
        <v>110000</v>
      </c>
      <c r="H119" s="11"/>
      <c r="I119" s="60" t="s">
        <v>617</v>
      </c>
      <c r="J119" s="60" t="s">
        <v>618</v>
      </c>
      <c r="K119" s="61"/>
      <c r="L119" s="61"/>
      <c r="M119" s="61"/>
      <c r="N119" s="60"/>
      <c r="O119" s="60"/>
      <c r="P119" s="61"/>
      <c r="Q119" s="61"/>
      <c r="R119" s="61"/>
      <c r="S119" s="60"/>
      <c r="T119" s="60"/>
      <c r="U119" s="61"/>
      <c r="V119" s="61"/>
      <c r="W119" s="11"/>
      <c r="X119" s="8">
        <v>20</v>
      </c>
      <c r="Y119" s="8">
        <v>200</v>
      </c>
      <c r="Z119" s="9">
        <v>1.5</v>
      </c>
      <c r="AA119" s="8"/>
      <c r="AB119" s="104">
        <v>6</v>
      </c>
      <c r="AC119" s="8">
        <v>31</v>
      </c>
      <c r="AD119" s="94">
        <f t="shared" si="87"/>
        <v>18</v>
      </c>
      <c r="AE119" s="8" t="s">
        <v>713</v>
      </c>
      <c r="AF119" s="95">
        <f t="shared" si="98"/>
        <v>28.354901771767061</v>
      </c>
      <c r="AG119" s="95">
        <f t="shared" ref="AG119" si="110">Z119/100*F119/Y119</f>
        <v>8.16</v>
      </c>
      <c r="AH119" s="95">
        <f t="shared" si="100"/>
        <v>5.4772352657650583</v>
      </c>
      <c r="AI119" s="95">
        <f t="shared" ref="AI119" si="111">AF119+AG119+AH119</f>
        <v>41.992137037532117</v>
      </c>
      <c r="AJ119" s="7"/>
      <c r="AK119" s="7"/>
      <c r="AL119" s="7"/>
      <c r="AM119" s="7">
        <f>AN10</f>
        <v>209.41102576780244</v>
      </c>
      <c r="AN119" s="95">
        <f t="shared" ref="AN119" si="112">AI119+AM119</f>
        <v>251.40316280533455</v>
      </c>
      <c r="AO119" s="95">
        <f t="shared" si="91"/>
        <v>13.966842378074141</v>
      </c>
      <c r="AP119" s="8" t="s">
        <v>724</v>
      </c>
    </row>
    <row r="120" spans="1:42" ht="15.75" customHeight="1" thickBot="1" x14ac:dyDescent="0.3">
      <c r="A120" s="259" t="str">
        <f t="shared" si="106"/>
        <v>Soil_Preparation Cultivator_Heavy_Duty_with_tine_harrows Medium, 41-50 ft (requires 315 hp)</v>
      </c>
      <c r="B120" s="260" t="s">
        <v>282</v>
      </c>
      <c r="C120" s="261" t="s">
        <v>353</v>
      </c>
      <c r="D120" s="261" t="s">
        <v>249</v>
      </c>
      <c r="E120" s="264" t="s">
        <v>125</v>
      </c>
      <c r="F120" s="256">
        <v>157900</v>
      </c>
      <c r="G120" s="48">
        <f t="shared" si="79"/>
        <v>160000</v>
      </c>
      <c r="H120" s="63"/>
      <c r="I120" s="64" t="s">
        <v>614</v>
      </c>
      <c r="J120" s="64" t="s">
        <v>619</v>
      </c>
      <c r="K120" s="65"/>
      <c r="L120" s="65"/>
      <c r="M120" s="65"/>
      <c r="N120" s="64"/>
      <c r="O120" s="64"/>
      <c r="P120" s="65"/>
      <c r="Q120" s="65"/>
      <c r="R120" s="65"/>
      <c r="S120" s="64"/>
      <c r="T120" s="64"/>
      <c r="U120" s="65"/>
      <c r="V120" s="65"/>
      <c r="W120" s="63"/>
      <c r="X120" s="8">
        <v>20</v>
      </c>
      <c r="Y120" s="8">
        <v>200</v>
      </c>
      <c r="Z120" s="9">
        <v>1.5</v>
      </c>
      <c r="AA120" s="8"/>
      <c r="AB120" s="104">
        <v>6</v>
      </c>
      <c r="AC120" s="8">
        <v>45</v>
      </c>
      <c r="AD120" s="94">
        <f t="shared" si="87"/>
        <v>26</v>
      </c>
      <c r="AE120" s="8" t="s">
        <v>713</v>
      </c>
      <c r="AF120" s="95">
        <f t="shared" si="98"/>
        <v>41.151093655900908</v>
      </c>
      <c r="AG120" s="95">
        <f t="shared" ref="AG120:AG121" si="113">Z120/100*F120/Y120</f>
        <v>11.842499999999999</v>
      </c>
      <c r="AH120" s="95">
        <f t="shared" si="100"/>
        <v>7.9490390483851359</v>
      </c>
      <c r="AI120" s="95">
        <f t="shared" ref="AI120:AI121" si="114">AF120+AG120+AH120</f>
        <v>60.942632704286048</v>
      </c>
      <c r="AJ120" s="7"/>
      <c r="AK120" s="7"/>
      <c r="AL120" s="7"/>
      <c r="AM120" s="7">
        <f>AN11</f>
        <v>238.91465463500677</v>
      </c>
      <c r="AN120" s="95">
        <f t="shared" ref="AN120:AN121" si="115">AI120+AM120</f>
        <v>299.85728733929284</v>
      </c>
      <c r="AO120" s="95">
        <f t="shared" si="91"/>
        <v>11.532972589972802</v>
      </c>
      <c r="AP120" s="8" t="s">
        <v>724</v>
      </c>
    </row>
    <row r="121" spans="1:42" ht="15.75" customHeight="1" thickBot="1" x14ac:dyDescent="0.3">
      <c r="A121" s="259" t="str">
        <f t="shared" si="106"/>
        <v>Soil_Preparation Cultivator_Heavy_Duty_with_tine_harrows Large, 51-62 ft (requires 385 hp)</v>
      </c>
      <c r="B121" s="260" t="s">
        <v>282</v>
      </c>
      <c r="C121" s="261" t="s">
        <v>353</v>
      </c>
      <c r="D121" s="261" t="s">
        <v>250</v>
      </c>
      <c r="E121" s="263" t="s">
        <v>126</v>
      </c>
      <c r="F121" s="256">
        <v>185700</v>
      </c>
      <c r="G121" s="48">
        <f t="shared" si="79"/>
        <v>185000</v>
      </c>
      <c r="H121" s="66"/>
      <c r="I121" s="67" t="s">
        <v>596</v>
      </c>
      <c r="J121" s="67" t="s">
        <v>620</v>
      </c>
      <c r="K121" s="68"/>
      <c r="L121" s="68"/>
      <c r="M121" s="68"/>
      <c r="N121" s="67" t="s">
        <v>596</v>
      </c>
      <c r="O121" s="67" t="s">
        <v>621</v>
      </c>
      <c r="P121" s="68"/>
      <c r="Q121" s="68"/>
      <c r="R121" s="68"/>
      <c r="S121" s="67" t="s">
        <v>596</v>
      </c>
      <c r="T121" s="67" t="s">
        <v>622</v>
      </c>
      <c r="U121" s="68"/>
      <c r="V121" s="68"/>
      <c r="W121" s="66"/>
      <c r="X121" s="8">
        <v>20</v>
      </c>
      <c r="Y121" s="8">
        <v>200</v>
      </c>
      <c r="Z121" s="9">
        <v>1.5</v>
      </c>
      <c r="AA121" s="8"/>
      <c r="AB121" s="104">
        <v>6</v>
      </c>
      <c r="AC121" s="8">
        <v>56</v>
      </c>
      <c r="AD121" s="94">
        <f t="shared" si="87"/>
        <v>33</v>
      </c>
      <c r="AE121" s="8" t="s">
        <v>713</v>
      </c>
      <c r="AF121" s="95">
        <f t="shared" si="98"/>
        <v>48.396188042436989</v>
      </c>
      <c r="AG121" s="95">
        <f t="shared" si="113"/>
        <v>13.9275</v>
      </c>
      <c r="AH121" s="95">
        <f t="shared" si="100"/>
        <v>9.3485532063655477</v>
      </c>
      <c r="AI121" s="95">
        <f t="shared" si="114"/>
        <v>71.672241248802536</v>
      </c>
      <c r="AJ121" s="7"/>
      <c r="AK121" s="7"/>
      <c r="AL121" s="7"/>
      <c r="AM121" s="7">
        <f>AN11</f>
        <v>238.91465463500677</v>
      </c>
      <c r="AN121" s="95">
        <f t="shared" si="115"/>
        <v>310.58689588380929</v>
      </c>
      <c r="AO121" s="95">
        <f t="shared" si="91"/>
        <v>9.4117241176911914</v>
      </c>
      <c r="AP121" s="8" t="s">
        <v>724</v>
      </c>
    </row>
    <row r="122" spans="1:42" ht="15.75" customHeight="1" thickBot="1" x14ac:dyDescent="0.3">
      <c r="A122" s="259" t="str">
        <f t="shared" si="106"/>
        <v>Soil_Preparation Harrow_Mid 50-90 ft (requires 225 hp)</v>
      </c>
      <c r="B122" s="260" t="s">
        <v>282</v>
      </c>
      <c r="C122" s="261" t="s">
        <v>298</v>
      </c>
      <c r="D122" s="261" t="s">
        <v>251</v>
      </c>
      <c r="E122" s="262" t="s">
        <v>127</v>
      </c>
      <c r="F122" s="256">
        <v>76800</v>
      </c>
      <c r="G122" s="48">
        <f t="shared" si="79"/>
        <v>75000</v>
      </c>
      <c r="H122" s="11"/>
      <c r="I122" s="60" t="s">
        <v>472</v>
      </c>
      <c r="J122" s="60" t="s">
        <v>623</v>
      </c>
      <c r="K122" s="61"/>
      <c r="L122" s="61"/>
      <c r="M122" s="61"/>
      <c r="N122" s="60" t="s">
        <v>472</v>
      </c>
      <c r="O122" s="60" t="s">
        <v>624</v>
      </c>
      <c r="P122" s="61"/>
      <c r="Q122" s="61"/>
      <c r="R122" s="61"/>
      <c r="S122" s="60"/>
      <c r="T122" s="60"/>
      <c r="U122" s="61"/>
      <c r="V122" s="61"/>
      <c r="W122" s="11"/>
      <c r="X122" s="8">
        <v>25</v>
      </c>
      <c r="Y122" s="8">
        <v>75</v>
      </c>
      <c r="Z122" s="9">
        <v>1.2</v>
      </c>
      <c r="AA122" s="8"/>
      <c r="AB122" s="104">
        <v>7.5</v>
      </c>
      <c r="AC122" s="8">
        <v>70</v>
      </c>
      <c r="AD122" s="94">
        <f t="shared" si="87"/>
        <v>51</v>
      </c>
      <c r="AE122" s="8" t="s">
        <v>713</v>
      </c>
      <c r="AF122" s="95">
        <f t="shared" si="98"/>
        <v>44.747146197484518</v>
      </c>
      <c r="AG122" s="95">
        <f t="shared" ref="AG122:AG124" si="116">Z122/100*F122/Y122</f>
        <v>12.288</v>
      </c>
      <c r="AH122" s="95">
        <f t="shared" si="100"/>
        <v>8.5552719296226787</v>
      </c>
      <c r="AI122" s="95">
        <f t="shared" ref="AI122:AI124" si="117">AF122+AG122+AH122</f>
        <v>65.590418127107199</v>
      </c>
      <c r="AJ122" s="7"/>
      <c r="AK122" s="7"/>
      <c r="AL122" s="7"/>
      <c r="AM122" s="7">
        <f>AN10</f>
        <v>209.41102576780244</v>
      </c>
      <c r="AN122" s="95">
        <f t="shared" ref="AN122:AN124" si="118">AI122+AM122</f>
        <v>275.00144389490964</v>
      </c>
      <c r="AO122" s="95">
        <f t="shared" si="91"/>
        <v>5.3921851744099927</v>
      </c>
      <c r="AP122" s="8" t="s">
        <v>724</v>
      </c>
    </row>
    <row r="123" spans="1:42" ht="15.75" customHeight="1" thickBot="1" x14ac:dyDescent="0.3">
      <c r="A123" s="259" t="str">
        <f t="shared" si="106"/>
        <v>Soil_Preparation Harrow_Heavy 40-84 ft (requires 375 hp)</v>
      </c>
      <c r="B123" s="260" t="s">
        <v>282</v>
      </c>
      <c r="C123" s="261" t="s">
        <v>299</v>
      </c>
      <c r="D123" s="261" t="s">
        <v>252</v>
      </c>
      <c r="E123" s="264" t="s">
        <v>128</v>
      </c>
      <c r="F123" s="256">
        <v>104500</v>
      </c>
      <c r="G123" s="48">
        <f>ROUND(F123/5000,0)*5000</f>
        <v>105000</v>
      </c>
      <c r="H123" s="63"/>
      <c r="I123" s="64" t="s">
        <v>596</v>
      </c>
      <c r="J123" s="64" t="s">
        <v>625</v>
      </c>
      <c r="K123" s="65"/>
      <c r="L123" s="65"/>
      <c r="M123" s="65"/>
      <c r="N123" s="64"/>
      <c r="O123" s="64"/>
      <c r="P123" s="65"/>
      <c r="Q123" s="65"/>
      <c r="R123" s="65"/>
      <c r="S123" s="64"/>
      <c r="T123" s="64"/>
      <c r="U123" s="65"/>
      <c r="V123" s="65"/>
      <c r="W123" s="63"/>
      <c r="X123" s="8">
        <v>20</v>
      </c>
      <c r="Y123" s="8">
        <v>100</v>
      </c>
      <c r="Z123" s="9">
        <v>1.5</v>
      </c>
      <c r="AA123" s="8"/>
      <c r="AB123" s="104">
        <v>7.5</v>
      </c>
      <c r="AC123" s="8">
        <v>62</v>
      </c>
      <c r="AD123" s="94">
        <f t="shared" si="87"/>
        <v>45</v>
      </c>
      <c r="AE123" s="8" t="s">
        <v>713</v>
      </c>
      <c r="AF123" s="95">
        <f t="shared" si="98"/>
        <v>54.468515352015785</v>
      </c>
      <c r="AG123" s="95">
        <f t="shared" si="116"/>
        <v>15.675000000000001</v>
      </c>
      <c r="AH123" s="95">
        <f t="shared" si="100"/>
        <v>10.521527302802367</v>
      </c>
      <c r="AI123" s="95">
        <f t="shared" si="117"/>
        <v>80.665042654818151</v>
      </c>
      <c r="AJ123" s="7"/>
      <c r="AK123" s="7"/>
      <c r="AL123" s="7"/>
      <c r="AM123" s="7">
        <f>AN11</f>
        <v>238.91465463500677</v>
      </c>
      <c r="AN123" s="95">
        <f t="shared" si="118"/>
        <v>319.57969728982494</v>
      </c>
      <c r="AO123" s="95">
        <f t="shared" si="91"/>
        <v>7.1017710508849987</v>
      </c>
      <c r="AP123" s="8" t="s">
        <v>724</v>
      </c>
    </row>
    <row r="124" spans="1:42" ht="15.75" customHeight="1" thickBot="1" x14ac:dyDescent="0.3">
      <c r="A124" s="259" t="str">
        <f t="shared" si="106"/>
        <v>Soil_Preparation Harrow_Packer 25-62 ft (requires 175 hp)</v>
      </c>
      <c r="B124" s="260" t="s">
        <v>282</v>
      </c>
      <c r="C124" s="261" t="s">
        <v>300</v>
      </c>
      <c r="D124" s="261" t="s">
        <v>253</v>
      </c>
      <c r="E124" s="263" t="s">
        <v>129</v>
      </c>
      <c r="F124" s="256">
        <v>53100</v>
      </c>
      <c r="G124" s="59">
        <f>ROUND(F124,-3)</f>
        <v>53000</v>
      </c>
      <c r="H124" s="66"/>
      <c r="I124" s="67" t="s">
        <v>626</v>
      </c>
      <c r="J124" s="60" t="s">
        <v>594</v>
      </c>
      <c r="K124" s="68"/>
      <c r="L124" s="68"/>
      <c r="M124" s="68"/>
      <c r="N124" s="67"/>
      <c r="O124" s="67"/>
      <c r="P124" s="68"/>
      <c r="Q124" s="68"/>
      <c r="R124" s="68"/>
      <c r="S124" s="67"/>
      <c r="T124" s="67"/>
      <c r="U124" s="68"/>
      <c r="V124" s="68"/>
      <c r="W124" s="66"/>
      <c r="X124" s="8">
        <v>25</v>
      </c>
      <c r="Y124" s="8">
        <v>200</v>
      </c>
      <c r="Z124" s="9">
        <v>0.5</v>
      </c>
      <c r="AA124" s="8"/>
      <c r="AB124" s="104">
        <v>7.5</v>
      </c>
      <c r="AC124" s="8">
        <v>44</v>
      </c>
      <c r="AD124" s="94">
        <f t="shared" si="87"/>
        <v>32</v>
      </c>
      <c r="AE124" s="8" t="s">
        <v>713</v>
      </c>
      <c r="AF124" s="95">
        <f t="shared" si="98"/>
        <v>11.601921206476696</v>
      </c>
      <c r="AG124" s="95">
        <f t="shared" si="116"/>
        <v>1.3274999999999999</v>
      </c>
      <c r="AH124" s="95">
        <f t="shared" si="100"/>
        <v>1.9394131809715045</v>
      </c>
      <c r="AI124" s="95">
        <f t="shared" si="117"/>
        <v>14.868834387448201</v>
      </c>
      <c r="AJ124" s="7"/>
      <c r="AK124" s="7"/>
      <c r="AL124" s="7"/>
      <c r="AM124" s="7">
        <f>AN9</f>
        <v>155.14636807957388</v>
      </c>
      <c r="AN124" s="95">
        <f t="shared" si="118"/>
        <v>170.01520246702208</v>
      </c>
      <c r="AO124" s="95">
        <f t="shared" si="91"/>
        <v>5.3129750770944399</v>
      </c>
      <c r="AP124" s="8" t="s">
        <v>724</v>
      </c>
    </row>
    <row r="125" spans="1:42" ht="15.75" customHeight="1" thickBot="1" x14ac:dyDescent="0.3">
      <c r="A125" s="259" t="str">
        <f t="shared" si="106"/>
        <v>Soil_Preparation Vertical_Tillage_Tools_Compact Small, 10-30 ft (requires 225+ hp)</v>
      </c>
      <c r="B125" s="260" t="s">
        <v>282</v>
      </c>
      <c r="C125" s="261" t="s">
        <v>347</v>
      </c>
      <c r="D125" s="261" t="s">
        <v>254</v>
      </c>
      <c r="E125" s="262" t="s">
        <v>130</v>
      </c>
      <c r="F125" s="256">
        <v>93200</v>
      </c>
      <c r="G125" s="48">
        <f>ROUND(F125/5000,0)*5000</f>
        <v>95000</v>
      </c>
      <c r="H125" s="11"/>
      <c r="I125" s="60" t="s">
        <v>627</v>
      </c>
      <c r="J125" s="60" t="s">
        <v>628</v>
      </c>
      <c r="K125" s="61"/>
      <c r="L125" s="61"/>
      <c r="M125" s="61"/>
      <c r="N125" s="60" t="s">
        <v>629</v>
      </c>
      <c r="O125" s="60" t="s">
        <v>630</v>
      </c>
      <c r="P125" s="61"/>
      <c r="Q125" s="61"/>
      <c r="R125" s="61"/>
      <c r="S125" s="60"/>
      <c r="T125" s="60"/>
      <c r="U125" s="61"/>
      <c r="V125" s="61"/>
      <c r="W125" s="11"/>
      <c r="X125" s="8">
        <v>20</v>
      </c>
      <c r="Y125" s="8">
        <v>100</v>
      </c>
      <c r="Z125" s="9">
        <v>3.5</v>
      </c>
      <c r="AA125" s="8"/>
      <c r="AB125" s="104">
        <v>10</v>
      </c>
      <c r="AC125" s="8">
        <v>20</v>
      </c>
      <c r="AD125" s="94">
        <f t="shared" si="87"/>
        <v>19</v>
      </c>
      <c r="AE125" s="8" t="s">
        <v>713</v>
      </c>
      <c r="AF125" s="95">
        <f t="shared" si="98"/>
        <v>48.578618476630339</v>
      </c>
      <c r="AG125" s="95">
        <f t="shared" ref="AG125" si="119">Z125/100*F125/Y125</f>
        <v>32.620000000000005</v>
      </c>
      <c r="AH125" s="95">
        <f t="shared" si="100"/>
        <v>12.179792771494551</v>
      </c>
      <c r="AI125" s="95">
        <f t="shared" ref="AI125" si="120">AF125+AG125+AH125</f>
        <v>93.378411248124891</v>
      </c>
      <c r="AJ125" s="7"/>
      <c r="AK125" s="7"/>
      <c r="AL125" s="7"/>
      <c r="AM125" s="7">
        <f>AN10</f>
        <v>209.41102576780244</v>
      </c>
      <c r="AN125" s="95">
        <f t="shared" ref="AN125" si="121">AI125+AM125</f>
        <v>302.78943701592732</v>
      </c>
      <c r="AO125" s="95">
        <f t="shared" si="91"/>
        <v>15.936286158733017</v>
      </c>
      <c r="AP125" s="8" t="s">
        <v>724</v>
      </c>
    </row>
    <row r="126" spans="1:42" ht="15.75" customHeight="1" thickBot="1" x14ac:dyDescent="0.3">
      <c r="A126" s="259" t="str">
        <f t="shared" si="106"/>
        <v>Soil_Preparation Vertical_Tillage_Tools_Compact Large, 31-50 ft (requires 500 hp)</v>
      </c>
      <c r="B126" s="260" t="s">
        <v>282</v>
      </c>
      <c r="C126" s="261" t="s">
        <v>347</v>
      </c>
      <c r="D126" s="261" t="s">
        <v>257</v>
      </c>
      <c r="E126" s="264" t="s">
        <v>131</v>
      </c>
      <c r="F126" s="256">
        <v>150000</v>
      </c>
      <c r="G126" s="48">
        <f t="shared" ref="G126:G128" si="122">ROUND(F126/5000,0)*5000</f>
        <v>150000</v>
      </c>
      <c r="H126" s="63"/>
      <c r="I126" s="64" t="s">
        <v>629</v>
      </c>
      <c r="J126" s="64" t="s">
        <v>631</v>
      </c>
      <c r="K126" s="65"/>
      <c r="L126" s="65"/>
      <c r="M126" s="65"/>
      <c r="N126" s="64"/>
      <c r="O126" s="64"/>
      <c r="P126" s="65"/>
      <c r="Q126" s="65"/>
      <c r="R126" s="65"/>
      <c r="S126" s="64"/>
      <c r="T126" s="64"/>
      <c r="U126" s="65"/>
      <c r="V126" s="65"/>
      <c r="W126" s="63"/>
      <c r="X126" s="8">
        <v>20</v>
      </c>
      <c r="Y126" s="8">
        <v>100</v>
      </c>
      <c r="Z126" s="9">
        <v>3.5</v>
      </c>
      <c r="AA126" s="8"/>
      <c r="AB126" s="104">
        <v>10</v>
      </c>
      <c r="AC126" s="8">
        <v>40</v>
      </c>
      <c r="AD126" s="94">
        <f t="shared" si="87"/>
        <v>39</v>
      </c>
      <c r="AE126" s="8" t="s">
        <v>713</v>
      </c>
      <c r="AF126" s="95">
        <f t="shared" si="98"/>
        <v>78.184471797151815</v>
      </c>
      <c r="AG126" s="95">
        <f t="shared" ref="AG126:AG128" si="123">Z126/100*F126/Y126</f>
        <v>52.500000000000007</v>
      </c>
      <c r="AH126" s="95">
        <f t="shared" si="100"/>
        <v>19.602670769572772</v>
      </c>
      <c r="AI126" s="95">
        <f t="shared" ref="AI126:AI128" si="124">AF126+AG126+AH126</f>
        <v>150.28714256672458</v>
      </c>
      <c r="AJ126" s="7"/>
      <c r="AK126" s="7"/>
      <c r="AL126" s="7"/>
      <c r="AM126" s="7">
        <f>AN12</f>
        <v>277.06836188932402</v>
      </c>
      <c r="AN126" s="95">
        <f t="shared" ref="AN126:AN128" si="125">AI126+AM126</f>
        <v>427.35550445604861</v>
      </c>
      <c r="AO126" s="95">
        <f t="shared" si="91"/>
        <v>10.957833447590989</v>
      </c>
      <c r="AP126" s="8" t="s">
        <v>724</v>
      </c>
    </row>
    <row r="127" spans="1:42" ht="15.75" customHeight="1" thickBot="1" x14ac:dyDescent="0.3">
      <c r="A127" s="259" t="str">
        <f t="shared" si="106"/>
        <v>Soil_Preparation Vertical_Tillage_Tools_Heavy_Duty Small, 10-25 ft (requires 225+ hp)</v>
      </c>
      <c r="B127" s="260" t="s">
        <v>282</v>
      </c>
      <c r="C127" s="261" t="s">
        <v>705</v>
      </c>
      <c r="D127" s="261" t="s">
        <v>255</v>
      </c>
      <c r="E127" s="264" t="s">
        <v>132</v>
      </c>
      <c r="F127" s="256">
        <v>121400</v>
      </c>
      <c r="G127" s="48">
        <f t="shared" si="122"/>
        <v>120000</v>
      </c>
      <c r="H127" s="63"/>
      <c r="I127" s="64" t="s">
        <v>632</v>
      </c>
      <c r="J127" s="64" t="s">
        <v>633</v>
      </c>
      <c r="K127" s="65"/>
      <c r="L127" s="65"/>
      <c r="M127" s="65"/>
      <c r="N127" s="64"/>
      <c r="O127" s="64"/>
      <c r="P127" s="65"/>
      <c r="Q127" s="65"/>
      <c r="R127" s="65"/>
      <c r="S127" s="64"/>
      <c r="T127" s="64"/>
      <c r="U127" s="65"/>
      <c r="V127" s="65"/>
      <c r="W127" s="63"/>
      <c r="X127" s="8">
        <v>20</v>
      </c>
      <c r="Y127" s="8">
        <v>100</v>
      </c>
      <c r="Z127" s="9">
        <v>3.5</v>
      </c>
      <c r="AA127" s="8"/>
      <c r="AB127" s="104">
        <v>10</v>
      </c>
      <c r="AC127" s="8">
        <v>18</v>
      </c>
      <c r="AD127" s="94">
        <f t="shared" si="87"/>
        <v>17</v>
      </c>
      <c r="AE127" s="8" t="s">
        <v>713</v>
      </c>
      <c r="AF127" s="95">
        <f t="shared" si="98"/>
        <v>63.277299174494885</v>
      </c>
      <c r="AG127" s="95">
        <f t="shared" si="123"/>
        <v>42.49</v>
      </c>
      <c r="AH127" s="95">
        <f t="shared" si="100"/>
        <v>15.865094876174233</v>
      </c>
      <c r="AI127" s="95">
        <f t="shared" si="124"/>
        <v>121.63239405066912</v>
      </c>
      <c r="AJ127" s="7"/>
      <c r="AK127" s="7"/>
      <c r="AL127" s="7"/>
      <c r="AM127" s="7">
        <f>AN10</f>
        <v>209.41102576780244</v>
      </c>
      <c r="AN127" s="95">
        <f t="shared" si="125"/>
        <v>331.04341981847153</v>
      </c>
      <c r="AO127" s="95">
        <f t="shared" si="91"/>
        <v>19.473142342263031</v>
      </c>
      <c r="AP127" s="8" t="s">
        <v>724</v>
      </c>
    </row>
    <row r="128" spans="1:42" ht="15.75" customHeight="1" thickBot="1" x14ac:dyDescent="0.3">
      <c r="A128" s="259" t="str">
        <f t="shared" si="106"/>
        <v>Soil_Preparation Vertical_Tillage_Tools_Heavy_Duty Large, 26-40 ft (requires 500 hp)</v>
      </c>
      <c r="B128" s="260" t="s">
        <v>282</v>
      </c>
      <c r="C128" s="261" t="s">
        <v>705</v>
      </c>
      <c r="D128" s="261" t="s">
        <v>256</v>
      </c>
      <c r="E128" s="263" t="s">
        <v>133</v>
      </c>
      <c r="F128" s="256">
        <v>177900</v>
      </c>
      <c r="G128" s="48">
        <f t="shared" si="122"/>
        <v>180000</v>
      </c>
      <c r="H128" s="66"/>
      <c r="I128" s="67" t="s">
        <v>494</v>
      </c>
      <c r="J128" s="67" t="s">
        <v>634</v>
      </c>
      <c r="K128" s="68"/>
      <c r="L128" s="68"/>
      <c r="M128" s="68"/>
      <c r="N128" s="67" t="s">
        <v>635</v>
      </c>
      <c r="O128" s="67" t="s">
        <v>636</v>
      </c>
      <c r="P128" s="68"/>
      <c r="Q128" s="68"/>
      <c r="R128" s="68"/>
      <c r="S128" s="67"/>
      <c r="T128" s="67"/>
      <c r="U128" s="68"/>
      <c r="V128" s="68"/>
      <c r="W128" s="66"/>
      <c r="X128" s="8">
        <v>20</v>
      </c>
      <c r="Y128" s="8">
        <v>100</v>
      </c>
      <c r="Z128" s="9">
        <v>3.5</v>
      </c>
      <c r="AA128" s="8"/>
      <c r="AB128" s="104">
        <v>10</v>
      </c>
      <c r="AC128" s="8">
        <v>33</v>
      </c>
      <c r="AD128" s="94">
        <f t="shared" si="87"/>
        <v>32</v>
      </c>
      <c r="AE128" s="8" t="s">
        <v>713</v>
      </c>
      <c r="AF128" s="95">
        <f t="shared" si="98"/>
        <v>92.726783551422045</v>
      </c>
      <c r="AG128" s="95">
        <f t="shared" si="123"/>
        <v>62.265000000000008</v>
      </c>
      <c r="AH128" s="95">
        <f t="shared" si="100"/>
        <v>23.248767532713309</v>
      </c>
      <c r="AI128" s="95">
        <f t="shared" si="124"/>
        <v>178.24055108413538</v>
      </c>
      <c r="AJ128" s="7"/>
      <c r="AK128" s="7"/>
      <c r="AL128" s="7"/>
      <c r="AM128" s="7">
        <f>AN12</f>
        <v>277.06836188932402</v>
      </c>
      <c r="AN128" s="95">
        <f t="shared" si="125"/>
        <v>455.30891297345943</v>
      </c>
      <c r="AO128" s="95">
        <f t="shared" si="91"/>
        <v>14.228403530420607</v>
      </c>
      <c r="AP128" s="8" t="s">
        <v>724</v>
      </c>
    </row>
    <row r="129" spans="1:48" ht="15.75" customHeight="1" thickBot="1" x14ac:dyDescent="0.3">
      <c r="A129" s="259" t="str">
        <f t="shared" si="106"/>
        <v>Soil_Preparation Land_Roller 11-20 ft fixed or 3 PT (requires 50 hp)</v>
      </c>
      <c r="B129" s="260" t="s">
        <v>282</v>
      </c>
      <c r="C129" s="261" t="s">
        <v>301</v>
      </c>
      <c r="D129" s="261" t="s">
        <v>258</v>
      </c>
      <c r="E129" s="262" t="s">
        <v>134</v>
      </c>
      <c r="F129" s="256">
        <v>35800</v>
      </c>
      <c r="G129" s="59">
        <f>ROUND(F129,-3)</f>
        <v>36000</v>
      </c>
      <c r="H129" s="11"/>
      <c r="I129" s="60" t="s">
        <v>637</v>
      </c>
      <c r="J129" s="60" t="s">
        <v>638</v>
      </c>
      <c r="K129" s="61"/>
      <c r="L129" s="61"/>
      <c r="M129" s="61"/>
      <c r="N129" s="60" t="s">
        <v>632</v>
      </c>
      <c r="O129" s="60" t="s">
        <v>639</v>
      </c>
      <c r="P129" s="61"/>
      <c r="Q129" s="61"/>
      <c r="R129" s="61"/>
      <c r="S129" s="60" t="s">
        <v>640</v>
      </c>
      <c r="T129" s="60" t="s">
        <v>639</v>
      </c>
      <c r="U129" s="61"/>
      <c r="V129" s="61"/>
      <c r="W129" s="11"/>
      <c r="X129" s="8">
        <v>20</v>
      </c>
      <c r="Y129" s="8">
        <v>75</v>
      </c>
      <c r="Z129" s="9">
        <v>1</v>
      </c>
      <c r="AA129" s="8"/>
      <c r="AB129" s="104">
        <v>6</v>
      </c>
      <c r="AC129" s="8">
        <v>16</v>
      </c>
      <c r="AD129" s="94">
        <f t="shared" si="87"/>
        <v>9</v>
      </c>
      <c r="AE129" s="8" t="s">
        <v>713</v>
      </c>
      <c r="AF129" s="95">
        <f t="shared" si="98"/>
        <v>24.880036358560318</v>
      </c>
      <c r="AG129" s="95">
        <f t="shared" ref="AG129" si="126">Z129/100*F129/Y129</f>
        <v>4.7733333333333334</v>
      </c>
      <c r="AH129" s="95">
        <f t="shared" si="100"/>
        <v>4.4480054537840479</v>
      </c>
      <c r="AI129" s="95">
        <f t="shared" ref="AI129" si="127">AF129+AG129+AH129</f>
        <v>34.1013751456777</v>
      </c>
      <c r="AJ129" s="7"/>
      <c r="AK129" s="7"/>
      <c r="AL129" s="7"/>
      <c r="AM129" s="7">
        <f>AN8</f>
        <v>124.35989319840716</v>
      </c>
      <c r="AN129" s="95">
        <f t="shared" ref="AN129" si="128">AI129+AM129</f>
        <v>158.46126834408486</v>
      </c>
      <c r="AO129" s="95">
        <f t="shared" si="91"/>
        <v>17.606807593787206</v>
      </c>
      <c r="AP129" s="8" t="s">
        <v>724</v>
      </c>
    </row>
    <row r="130" spans="1:48" ht="15.75" customHeight="1" thickBot="1" x14ac:dyDescent="0.3">
      <c r="A130" s="259" t="str">
        <f t="shared" si="106"/>
        <v>Soil_Preparation Land_Roller 46-85 ft (5 roller sections) (requires 200 hp)</v>
      </c>
      <c r="B130" s="260" t="s">
        <v>282</v>
      </c>
      <c r="C130" s="261" t="s">
        <v>301</v>
      </c>
      <c r="D130" s="261" t="s">
        <v>259</v>
      </c>
      <c r="E130" s="264" t="s">
        <v>135</v>
      </c>
      <c r="F130" s="256">
        <v>98500</v>
      </c>
      <c r="G130" s="48">
        <f>ROUND(F130/5000,0)*5000</f>
        <v>100000</v>
      </c>
      <c r="H130" s="63"/>
      <c r="I130" s="64" t="s">
        <v>641</v>
      </c>
      <c r="J130" s="64" t="s">
        <v>642</v>
      </c>
      <c r="K130" s="65"/>
      <c r="L130" s="65"/>
      <c r="M130" s="65"/>
      <c r="N130" s="64" t="s">
        <v>643</v>
      </c>
      <c r="O130" s="64" t="s">
        <v>644</v>
      </c>
      <c r="P130" s="65"/>
      <c r="Q130" s="65"/>
      <c r="R130" s="65"/>
      <c r="S130" s="64" t="s">
        <v>641</v>
      </c>
      <c r="T130" s="64" t="s">
        <v>645</v>
      </c>
      <c r="U130" s="65"/>
      <c r="V130" s="65"/>
      <c r="W130" s="63"/>
      <c r="X130" s="8">
        <v>20</v>
      </c>
      <c r="Y130" s="8">
        <v>75</v>
      </c>
      <c r="Z130" s="9">
        <v>1</v>
      </c>
      <c r="AA130" s="8"/>
      <c r="AB130" s="104">
        <v>6</v>
      </c>
      <c r="AC130" s="8">
        <v>65</v>
      </c>
      <c r="AD130" s="94">
        <f t="shared" si="87"/>
        <v>38</v>
      </c>
      <c r="AE130" s="8" t="s">
        <v>713</v>
      </c>
      <c r="AF130" s="95">
        <f t="shared" si="98"/>
        <v>68.454848640172941</v>
      </c>
      <c r="AG130" s="95">
        <f t="shared" ref="AG130:AG131" si="129">Z130/100*F130/Y130</f>
        <v>13.133333333333333</v>
      </c>
      <c r="AH130" s="95">
        <f t="shared" si="100"/>
        <v>12.23822729602594</v>
      </c>
      <c r="AI130" s="95">
        <f t="shared" ref="AI130:AI131" si="130">AF130+AG130+AH130</f>
        <v>93.826409269532206</v>
      </c>
      <c r="AJ130" s="7"/>
      <c r="AK130" s="7"/>
      <c r="AL130" s="7"/>
      <c r="AM130" s="7">
        <f>AN9</f>
        <v>155.14636807957388</v>
      </c>
      <c r="AN130" s="95">
        <f t="shared" ref="AN130:AN131" si="131">AI130+AM130</f>
        <v>248.97277734910608</v>
      </c>
      <c r="AO130" s="95">
        <f t="shared" si="91"/>
        <v>6.5519151933975284</v>
      </c>
      <c r="AP130" s="8" t="s">
        <v>724</v>
      </c>
    </row>
    <row r="131" spans="1:48" ht="15.75" customHeight="1" thickBot="1" x14ac:dyDescent="0.3">
      <c r="A131" s="259" t="str">
        <f t="shared" si="106"/>
        <v>Soil_Preparation Land_Roller 65-89 ft (7 roller sections) (requires 240 hp)</v>
      </c>
      <c r="B131" s="260" t="s">
        <v>282</v>
      </c>
      <c r="C131" s="261" t="s">
        <v>301</v>
      </c>
      <c r="D131" s="261" t="s">
        <v>260</v>
      </c>
      <c r="E131" s="263" t="s">
        <v>136</v>
      </c>
      <c r="F131" s="256">
        <v>118800</v>
      </c>
      <c r="G131" s="48">
        <f>ROUND(F131/5000,0)*5000</f>
        <v>120000</v>
      </c>
      <c r="H131" s="66"/>
      <c r="I131" s="67" t="s">
        <v>641</v>
      </c>
      <c r="J131" s="67" t="s">
        <v>646</v>
      </c>
      <c r="K131" s="68"/>
      <c r="L131" s="68"/>
      <c r="M131" s="68"/>
      <c r="N131" s="67"/>
      <c r="O131" s="67"/>
      <c r="P131" s="68"/>
      <c r="Q131" s="68"/>
      <c r="R131" s="68"/>
      <c r="S131" s="67"/>
      <c r="T131" s="67"/>
      <c r="U131" s="68"/>
      <c r="V131" s="68"/>
      <c r="W131" s="66"/>
      <c r="X131" s="8">
        <v>20</v>
      </c>
      <c r="Y131" s="8">
        <v>75</v>
      </c>
      <c r="Z131" s="9">
        <v>1</v>
      </c>
      <c r="AA131" s="8"/>
      <c r="AB131" s="104">
        <v>6</v>
      </c>
      <c r="AC131" s="8">
        <v>78</v>
      </c>
      <c r="AD131" s="94">
        <f t="shared" si="87"/>
        <v>45</v>
      </c>
      <c r="AE131" s="8" t="s">
        <v>713</v>
      </c>
      <c r="AF131" s="95">
        <f t="shared" si="98"/>
        <v>82.562802217792338</v>
      </c>
      <c r="AG131" s="95">
        <f t="shared" si="129"/>
        <v>15.84</v>
      </c>
      <c r="AH131" s="95">
        <f t="shared" si="100"/>
        <v>14.760420332668851</v>
      </c>
      <c r="AI131" s="95">
        <f t="shared" si="130"/>
        <v>113.1632225504612</v>
      </c>
      <c r="AJ131" s="7"/>
      <c r="AK131" s="7"/>
      <c r="AL131" s="7"/>
      <c r="AM131" s="7">
        <f>AN10</f>
        <v>209.41102576780244</v>
      </c>
      <c r="AN131" s="95">
        <f t="shared" si="131"/>
        <v>322.57424831826364</v>
      </c>
      <c r="AO131" s="95">
        <f t="shared" si="91"/>
        <v>7.1683166292947478</v>
      </c>
      <c r="AP131" s="8" t="s">
        <v>724</v>
      </c>
    </row>
    <row r="132" spans="1:48" ht="15.75" customHeight="1" thickBot="1" x14ac:dyDescent="0.3">
      <c r="A132" s="259" t="str">
        <f t="shared" ref="A132:A151" si="132">B132&amp;" "&amp;C132&amp;" "&amp;D132</f>
        <v>Soil_Preparation Land_Scraper 10.0-15.0 CU. yard (requires 220 hp)</v>
      </c>
      <c r="B132" s="260" t="s">
        <v>282</v>
      </c>
      <c r="C132" s="261" t="s">
        <v>302</v>
      </c>
      <c r="D132" s="261" t="s">
        <v>824</v>
      </c>
      <c r="E132" s="262" t="s">
        <v>833</v>
      </c>
      <c r="F132" s="256">
        <v>62000</v>
      </c>
      <c r="G132" s="59">
        <v>30000</v>
      </c>
      <c r="H132" s="11"/>
      <c r="I132" s="60" t="s">
        <v>626</v>
      </c>
      <c r="J132" s="60" t="s">
        <v>594</v>
      </c>
      <c r="K132" s="61"/>
      <c r="L132" s="61"/>
      <c r="M132" s="61"/>
      <c r="N132" s="60"/>
      <c r="O132" s="60"/>
      <c r="P132" s="61"/>
      <c r="Q132" s="61"/>
      <c r="R132" s="61"/>
      <c r="S132" s="60"/>
      <c r="T132" s="60"/>
      <c r="U132" s="61"/>
      <c r="V132" s="61"/>
      <c r="W132" s="11"/>
      <c r="X132" s="8">
        <v>10</v>
      </c>
      <c r="Y132" s="8">
        <v>80</v>
      </c>
      <c r="Z132" s="9">
        <v>2.5</v>
      </c>
      <c r="AA132" s="8"/>
      <c r="AD132" s="8"/>
      <c r="AE132" s="8"/>
      <c r="AF132" s="95">
        <f t="shared" si="98"/>
        <v>73.040620857056894</v>
      </c>
      <c r="AG132" s="95">
        <f t="shared" ref="AG132" si="133">Z132/100*F132/Y132</f>
        <v>19.375</v>
      </c>
      <c r="AH132" s="95">
        <f t="shared" si="100"/>
        <v>13.862343128558534</v>
      </c>
      <c r="AI132" s="95">
        <f t="shared" ref="AI132" si="134">AF132+AG132+AH132</f>
        <v>106.27796398561543</v>
      </c>
      <c r="AJ132" s="7"/>
      <c r="AK132" s="7"/>
      <c r="AL132" s="7"/>
      <c r="AM132" s="7">
        <f>AN8</f>
        <v>124.35989319840716</v>
      </c>
      <c r="AN132" s="95">
        <f t="shared" ref="AN132" si="135">AI132+AM132</f>
        <v>230.63785718402261</v>
      </c>
      <c r="AO132" s="95"/>
      <c r="AP132" s="8"/>
    </row>
    <row r="133" spans="1:48" ht="15.75" customHeight="1" thickBot="1" x14ac:dyDescent="0.3">
      <c r="A133" s="259" t="str">
        <f t="shared" si="132"/>
        <v>Soil_Preparation Land_Scraper 15.0+ CU. yard (requires 550 hp)</v>
      </c>
      <c r="B133" s="260" t="s">
        <v>282</v>
      </c>
      <c r="C133" s="261" t="s">
        <v>302</v>
      </c>
      <c r="D133" s="261" t="s">
        <v>825</v>
      </c>
      <c r="E133" s="264" t="s">
        <v>832</v>
      </c>
      <c r="F133" s="256">
        <v>90100</v>
      </c>
      <c r="G133" s="59">
        <v>40000</v>
      </c>
      <c r="H133" s="63"/>
      <c r="I133" s="64" t="s">
        <v>626</v>
      </c>
      <c r="J133" s="60" t="s">
        <v>594</v>
      </c>
      <c r="K133" s="65"/>
      <c r="L133" s="65"/>
      <c r="M133" s="65"/>
      <c r="N133" s="64"/>
      <c r="O133" s="64"/>
      <c r="P133" s="65"/>
      <c r="Q133" s="65"/>
      <c r="R133" s="65"/>
      <c r="S133" s="64"/>
      <c r="T133" s="64"/>
      <c r="U133" s="65"/>
      <c r="V133" s="65"/>
      <c r="W133" s="63"/>
      <c r="X133" s="8">
        <v>10</v>
      </c>
      <c r="Y133" s="8">
        <v>80</v>
      </c>
      <c r="Z133" s="9">
        <v>2.5</v>
      </c>
      <c r="AA133" s="8"/>
      <c r="AD133" s="8"/>
      <c r="AE133" s="8"/>
      <c r="AF133" s="95">
        <f t="shared" si="98"/>
        <v>106.144515148723</v>
      </c>
      <c r="AG133" s="95">
        <f t="shared" ref="AG133:AG137" si="136">Z133/100*F133/Y133</f>
        <v>28.15625</v>
      </c>
      <c r="AH133" s="95">
        <f t="shared" si="100"/>
        <v>20.14511477230845</v>
      </c>
      <c r="AI133" s="95">
        <f t="shared" ref="AI133:AI137" si="137">AF133+AG133+AH133</f>
        <v>154.44587992103146</v>
      </c>
      <c r="AJ133" s="7"/>
      <c r="AK133" s="7"/>
      <c r="AL133" s="7"/>
      <c r="AM133" s="7">
        <f>AN8</f>
        <v>124.35989319840716</v>
      </c>
      <c r="AN133" s="95">
        <f t="shared" ref="AN133:AN136" si="138">AI133+AM133</f>
        <v>278.80577311943864</v>
      </c>
      <c r="AO133" s="95"/>
      <c r="AP133" s="8"/>
    </row>
    <row r="134" spans="1:48" ht="15.75" customHeight="1" thickBot="1" x14ac:dyDescent="0.3">
      <c r="A134" s="259" t="str">
        <f t="shared" si="132"/>
        <v>Soil_Preparation Land_Scraper Pull Dozer 15.0-20.0 CU. Yard (requires 400 hp)</v>
      </c>
      <c r="B134" s="260" t="s">
        <v>282</v>
      </c>
      <c r="C134" s="261" t="s">
        <v>302</v>
      </c>
      <c r="D134" s="261" t="s">
        <v>826</v>
      </c>
      <c r="E134" s="264" t="s">
        <v>831</v>
      </c>
      <c r="F134" s="256">
        <v>111100</v>
      </c>
      <c r="G134" s="59">
        <v>50000</v>
      </c>
      <c r="H134" s="63"/>
      <c r="I134" s="64" t="s">
        <v>647</v>
      </c>
      <c r="J134" s="64" t="s">
        <v>648</v>
      </c>
      <c r="K134" s="65"/>
      <c r="L134" s="65"/>
      <c r="M134" s="65"/>
      <c r="N134" s="64"/>
      <c r="O134" s="64"/>
      <c r="P134" s="65"/>
      <c r="Q134" s="65"/>
      <c r="R134" s="65"/>
      <c r="S134" s="64"/>
      <c r="T134" s="64"/>
      <c r="U134" s="65"/>
      <c r="V134" s="65"/>
      <c r="W134" s="63"/>
      <c r="X134" s="8">
        <v>10</v>
      </c>
      <c r="Y134" s="8">
        <v>80</v>
      </c>
      <c r="Z134" s="9">
        <v>2.5</v>
      </c>
      <c r="AA134" s="8"/>
      <c r="AD134" s="8"/>
      <c r="AE134" s="8"/>
      <c r="AF134" s="95">
        <f t="shared" si="98"/>
        <v>130.88408027772613</v>
      </c>
      <c r="AG134" s="95">
        <f t="shared" si="136"/>
        <v>34.71875</v>
      </c>
      <c r="AH134" s="95">
        <f t="shared" si="100"/>
        <v>24.840424541658919</v>
      </c>
      <c r="AI134" s="95">
        <f t="shared" si="137"/>
        <v>190.44325481938506</v>
      </c>
      <c r="AJ134" s="7"/>
      <c r="AK134" s="7"/>
      <c r="AL134" s="7"/>
      <c r="AM134" s="7">
        <f>AN8</f>
        <v>124.35989319840716</v>
      </c>
      <c r="AN134" s="95">
        <f t="shared" si="138"/>
        <v>314.80314801779224</v>
      </c>
      <c r="AO134" s="95"/>
      <c r="AP134" s="8"/>
    </row>
    <row r="135" spans="1:48" ht="15.75" customHeight="1" thickBot="1" x14ac:dyDescent="0.3">
      <c r="A135" s="259" t="str">
        <f t="shared" si="132"/>
        <v>Soil_Preparation Land_Scraper Pull Dozer 21.01+ CU. Yard (requires 550 hp)</v>
      </c>
      <c r="B135" s="260" t="s">
        <v>282</v>
      </c>
      <c r="C135" s="261" t="s">
        <v>302</v>
      </c>
      <c r="D135" s="261" t="s">
        <v>827</v>
      </c>
      <c r="E135" s="264" t="s">
        <v>830</v>
      </c>
      <c r="F135" s="256">
        <v>137500</v>
      </c>
      <c r="G135" s="48">
        <v>60000</v>
      </c>
      <c r="H135" s="63"/>
      <c r="I135" s="64" t="s">
        <v>649</v>
      </c>
      <c r="J135" s="64" t="s">
        <v>650</v>
      </c>
      <c r="K135" s="65"/>
      <c r="L135" s="65"/>
      <c r="M135" s="65"/>
      <c r="N135" s="64"/>
      <c r="O135" s="64"/>
      <c r="P135" s="65"/>
      <c r="Q135" s="65"/>
      <c r="R135" s="65"/>
      <c r="S135" s="64"/>
      <c r="T135" s="64"/>
      <c r="U135" s="65"/>
      <c r="V135" s="65"/>
      <c r="W135" s="63"/>
      <c r="X135" s="8">
        <v>10</v>
      </c>
      <c r="Y135" s="8">
        <v>80</v>
      </c>
      <c r="Z135" s="9">
        <v>2.5</v>
      </c>
      <c r="AA135" s="8"/>
      <c r="AD135" s="8"/>
      <c r="AE135" s="8"/>
      <c r="AF135" s="95">
        <f t="shared" si="98"/>
        <v>161.9852478684729</v>
      </c>
      <c r="AG135" s="95">
        <f t="shared" si="136"/>
        <v>42.96875</v>
      </c>
      <c r="AH135" s="95">
        <f t="shared" si="100"/>
        <v>30.743099680270934</v>
      </c>
      <c r="AI135" s="95">
        <f t="shared" si="137"/>
        <v>235.69709754874384</v>
      </c>
      <c r="AJ135" s="7"/>
      <c r="AK135" s="7"/>
      <c r="AL135" s="7"/>
      <c r="AM135" s="7">
        <f>AN9</f>
        <v>155.14636807957388</v>
      </c>
      <c r="AN135" s="95">
        <f t="shared" si="138"/>
        <v>390.84346562831774</v>
      </c>
      <c r="AO135" s="95"/>
      <c r="AP135" s="8"/>
    </row>
    <row r="136" spans="1:48" ht="15.75" customHeight="1" thickBot="1" x14ac:dyDescent="0.3">
      <c r="A136" s="259" t="str">
        <f t="shared" si="132"/>
        <v>Soil_Preparation Land_Scraper Rotary Ditcher (requires 400 hp)</v>
      </c>
      <c r="B136" s="260" t="s">
        <v>282</v>
      </c>
      <c r="C136" s="261" t="s">
        <v>302</v>
      </c>
      <c r="D136" s="261" t="s">
        <v>828</v>
      </c>
      <c r="E136" s="263" t="s">
        <v>829</v>
      </c>
      <c r="F136" s="256">
        <v>101700</v>
      </c>
      <c r="G136" s="48">
        <v>100000</v>
      </c>
      <c r="H136" s="66"/>
      <c r="I136" s="67" t="s">
        <v>647</v>
      </c>
      <c r="J136" s="67">
        <v>1350</v>
      </c>
      <c r="K136" s="68"/>
      <c r="L136" s="68"/>
      <c r="M136" s="68"/>
      <c r="N136" s="67" t="s">
        <v>647</v>
      </c>
      <c r="O136" s="67">
        <v>1700</v>
      </c>
      <c r="P136" s="68"/>
      <c r="Q136" s="68"/>
      <c r="R136" s="68"/>
      <c r="S136" s="67"/>
      <c r="T136" s="67" t="s">
        <v>651</v>
      </c>
      <c r="U136" s="68"/>
      <c r="V136" s="68"/>
      <c r="W136" s="66"/>
      <c r="X136" s="8">
        <v>10</v>
      </c>
      <c r="Y136" s="8">
        <v>80</v>
      </c>
      <c r="Z136" s="9">
        <v>2.5</v>
      </c>
      <c r="AA136" s="8"/>
      <c r="AD136" s="8"/>
      <c r="AE136" s="8"/>
      <c r="AF136" s="95">
        <f t="shared" si="98"/>
        <v>119.81017969617237</v>
      </c>
      <c r="AG136" s="95">
        <f t="shared" si="136"/>
        <v>31.78125</v>
      </c>
      <c r="AH136" s="95">
        <f t="shared" si="100"/>
        <v>22.738714454425857</v>
      </c>
      <c r="AI136" s="95">
        <f t="shared" si="137"/>
        <v>174.33014415059824</v>
      </c>
      <c r="AJ136" s="7"/>
      <c r="AK136" s="7"/>
      <c r="AL136" s="7"/>
      <c r="AM136" s="7">
        <f>AN13</f>
        <v>314.22981834884314</v>
      </c>
      <c r="AN136" s="95">
        <f t="shared" si="138"/>
        <v>488.55996249944138</v>
      </c>
      <c r="AO136" s="95"/>
      <c r="AP136" s="8"/>
    </row>
    <row r="137" spans="1:48" ht="15.75" customHeight="1" thickBot="1" x14ac:dyDescent="0.3">
      <c r="A137" s="259" t="str">
        <f t="shared" si="132"/>
        <v>Sprayers High_Clearance_Sprayer 800 US gal, 90 ft boom</v>
      </c>
      <c r="B137" s="260" t="s">
        <v>16</v>
      </c>
      <c r="C137" s="261" t="s">
        <v>303</v>
      </c>
      <c r="D137" s="261" t="s">
        <v>834</v>
      </c>
      <c r="E137" s="262" t="s">
        <v>838</v>
      </c>
      <c r="F137" s="256">
        <v>415900</v>
      </c>
      <c r="G137" s="48">
        <f>ROUND(F137/5000,0)*5000</f>
        <v>415000</v>
      </c>
      <c r="H137" s="49"/>
      <c r="I137" s="50" t="s">
        <v>376</v>
      </c>
      <c r="J137" s="50" t="s">
        <v>652</v>
      </c>
      <c r="K137" s="51"/>
      <c r="L137" s="51"/>
      <c r="M137" s="51"/>
      <c r="N137" s="50" t="s">
        <v>13</v>
      </c>
      <c r="O137" s="50" t="s">
        <v>653</v>
      </c>
      <c r="P137" s="51"/>
      <c r="Q137" s="51"/>
      <c r="R137" s="51"/>
      <c r="S137" s="50" t="s">
        <v>13</v>
      </c>
      <c r="T137" s="50" t="s">
        <v>654</v>
      </c>
      <c r="U137" s="51"/>
      <c r="V137" s="51"/>
      <c r="W137" s="49"/>
      <c r="X137" s="8">
        <v>8</v>
      </c>
      <c r="Y137" s="8">
        <v>200</v>
      </c>
      <c r="Z137" s="9">
        <v>3.5</v>
      </c>
      <c r="AA137" s="8">
        <v>41</v>
      </c>
      <c r="AB137" s="104">
        <v>10</v>
      </c>
      <c r="AC137" s="8">
        <v>105</v>
      </c>
      <c r="AD137" s="94">
        <f>ROUND((AB137*5280*AC137*Field_efficiency)/43560,0)</f>
        <v>102</v>
      </c>
      <c r="AE137" s="8" t="s">
        <v>713</v>
      </c>
      <c r="AF137" s="95">
        <f t="shared" si="98"/>
        <v>239.78184850362868</v>
      </c>
      <c r="AG137" s="95">
        <f t="shared" si="136"/>
        <v>72.782500000000013</v>
      </c>
      <c r="AH137" s="95">
        <f t="shared" si="100"/>
        <v>46.884652275544305</v>
      </c>
      <c r="AI137" s="95">
        <f t="shared" si="137"/>
        <v>359.44900077917299</v>
      </c>
      <c r="AJ137" s="7">
        <f>AA137*Fuel_Price</f>
        <v>51.988</v>
      </c>
      <c r="AK137" s="7">
        <f>Labour</f>
        <v>27</v>
      </c>
      <c r="AL137" s="7">
        <f>Margin_percentage*(AJ137+AK137)</f>
        <v>11.8482</v>
      </c>
      <c r="AM137" s="7"/>
      <c r="AN137" s="95">
        <f>AI137+AJ137+AK137+AL137</f>
        <v>450.28520077917301</v>
      </c>
      <c r="AO137" s="95">
        <f t="shared" ref="AO137:AO140" si="139">AN137/AD137</f>
        <v>4.4145607919526766</v>
      </c>
      <c r="AP137" s="8" t="s">
        <v>724</v>
      </c>
    </row>
    <row r="138" spans="1:48" ht="15.75" customHeight="1" thickBot="1" x14ac:dyDescent="0.3">
      <c r="A138" s="259" t="str">
        <f t="shared" si="132"/>
        <v>Sprayers High_Clearance_Sprayer 1000 US gal, 100 ft boom</v>
      </c>
      <c r="B138" s="260" t="s">
        <v>16</v>
      </c>
      <c r="C138" s="261" t="s">
        <v>303</v>
      </c>
      <c r="D138" s="261" t="s">
        <v>835</v>
      </c>
      <c r="E138" s="264" t="s">
        <v>137</v>
      </c>
      <c r="F138" s="256">
        <v>499700</v>
      </c>
      <c r="G138" s="48">
        <f t="shared" ref="G138:G140" si="140">ROUND(F138/5000,0)*5000</f>
        <v>500000</v>
      </c>
      <c r="H138" s="55"/>
      <c r="I138" s="56" t="s">
        <v>376</v>
      </c>
      <c r="J138" s="56" t="s">
        <v>655</v>
      </c>
      <c r="K138" s="57"/>
      <c r="L138" s="57"/>
      <c r="M138" s="57"/>
      <c r="N138" s="56" t="s">
        <v>13</v>
      </c>
      <c r="O138" s="56" t="s">
        <v>656</v>
      </c>
      <c r="P138" s="57"/>
      <c r="Q138" s="57"/>
      <c r="R138" s="57"/>
      <c r="S138" s="56" t="s">
        <v>13</v>
      </c>
      <c r="T138" s="56" t="s">
        <v>657</v>
      </c>
      <c r="U138" s="57"/>
      <c r="V138" s="57"/>
      <c r="W138" s="55"/>
      <c r="X138" s="8">
        <v>8</v>
      </c>
      <c r="Y138" s="8">
        <v>200</v>
      </c>
      <c r="Z138" s="9">
        <v>3.5</v>
      </c>
      <c r="AA138" s="8">
        <v>52</v>
      </c>
      <c r="AB138" s="104">
        <v>10</v>
      </c>
      <c r="AC138" s="8">
        <v>105</v>
      </c>
      <c r="AD138" s="94">
        <f>ROUND((AB138*5280*AC138*Field_efficiency)/43560,0)</f>
        <v>102</v>
      </c>
      <c r="AE138" s="8" t="s">
        <v>713</v>
      </c>
      <c r="AF138" s="95">
        <f t="shared" si="98"/>
        <v>288.09567130863974</v>
      </c>
      <c r="AG138" s="95">
        <f t="shared" ref="AG138:AG141" si="141">Z138/100*F138/Y138</f>
        <v>87.447500000000005</v>
      </c>
      <c r="AH138" s="95">
        <f t="shared" si="100"/>
        <v>56.331475696295961</v>
      </c>
      <c r="AI138" s="95">
        <f t="shared" ref="AI138:AI141" si="142">AF138+AG138+AH138</f>
        <v>431.8746470049357</v>
      </c>
      <c r="AJ138" s="7">
        <f>AA138*Fuel_Price</f>
        <v>65.936000000000007</v>
      </c>
      <c r="AK138" s="7">
        <f>Labour</f>
        <v>27</v>
      </c>
      <c r="AL138" s="7">
        <f>Margin_percentage*(AJ138+AK138)</f>
        <v>13.9404</v>
      </c>
      <c r="AM138" s="7"/>
      <c r="AN138" s="95">
        <f t="shared" ref="AN138:AN140" si="143">AI138+AJ138+AK138+AL138</f>
        <v>538.75104700493569</v>
      </c>
      <c r="AO138" s="95">
        <f t="shared" si="139"/>
        <v>5.281873009852311</v>
      </c>
      <c r="AP138" s="8" t="s">
        <v>724</v>
      </c>
    </row>
    <row r="139" spans="1:48" ht="15.75" customHeight="1" thickBot="1" x14ac:dyDescent="0.3">
      <c r="A139" s="259" t="str">
        <f t="shared" si="132"/>
        <v>Sprayers High_Clearance_Sprayer 1200 US gal, 120 ft boom</v>
      </c>
      <c r="B139" s="260" t="s">
        <v>16</v>
      </c>
      <c r="C139" s="261" t="s">
        <v>303</v>
      </c>
      <c r="D139" s="261" t="s">
        <v>836</v>
      </c>
      <c r="E139" s="264" t="s">
        <v>138</v>
      </c>
      <c r="F139" s="256">
        <v>607300</v>
      </c>
      <c r="G139" s="48">
        <f t="shared" si="140"/>
        <v>605000</v>
      </c>
      <c r="H139" s="55"/>
      <c r="I139" s="56" t="s">
        <v>368</v>
      </c>
      <c r="J139" s="56" t="s">
        <v>658</v>
      </c>
      <c r="K139" s="57"/>
      <c r="L139" s="57"/>
      <c r="M139" s="57"/>
      <c r="N139" s="56" t="s">
        <v>659</v>
      </c>
      <c r="O139" s="56" t="s">
        <v>660</v>
      </c>
      <c r="P139" s="57"/>
      <c r="Q139" s="57"/>
      <c r="R139" s="57"/>
      <c r="S139" s="56" t="s">
        <v>13</v>
      </c>
      <c r="T139" s="56" t="s">
        <v>661</v>
      </c>
      <c r="U139" s="57"/>
      <c r="V139" s="57"/>
      <c r="W139" s="55"/>
      <c r="X139" s="8">
        <v>8</v>
      </c>
      <c r="Y139" s="8">
        <v>200</v>
      </c>
      <c r="Z139" s="9">
        <v>3.5</v>
      </c>
      <c r="AA139" s="8">
        <v>61</v>
      </c>
      <c r="AB139" s="104">
        <v>10</v>
      </c>
      <c r="AC139" s="8">
        <v>105</v>
      </c>
      <c r="AD139" s="94">
        <f>ROUND((AB139*5280*AC139*Field_efficiency)/43560,0)</f>
        <v>102</v>
      </c>
      <c r="AE139" s="8" t="s">
        <v>713</v>
      </c>
      <c r="AF139" s="95">
        <f t="shared" si="98"/>
        <v>350.13108102008584</v>
      </c>
      <c r="AG139" s="95">
        <f t="shared" si="141"/>
        <v>106.27750000000002</v>
      </c>
      <c r="AH139" s="95">
        <f t="shared" si="100"/>
        <v>68.461287153012876</v>
      </c>
      <c r="AI139" s="95">
        <f t="shared" si="142"/>
        <v>524.86986817309878</v>
      </c>
      <c r="AJ139" s="7">
        <f>AA139*Fuel_Price</f>
        <v>77.347999999999999</v>
      </c>
      <c r="AK139" s="7">
        <f>Labour</f>
        <v>27</v>
      </c>
      <c r="AL139" s="7">
        <f>Margin_percentage*(AJ139+AK139)</f>
        <v>15.652199999999999</v>
      </c>
      <c r="AM139" s="7"/>
      <c r="AN139" s="95">
        <f t="shared" si="143"/>
        <v>644.87006817309873</v>
      </c>
      <c r="AO139" s="95">
        <f t="shared" si="139"/>
        <v>6.3222555703244971</v>
      </c>
      <c r="AP139" s="8" t="s">
        <v>724</v>
      </c>
      <c r="AS139" s="106"/>
      <c r="AT139" s="106"/>
      <c r="AU139" s="106"/>
      <c r="AV139" s="106"/>
    </row>
    <row r="140" spans="1:48" ht="15.75" customHeight="1" thickBot="1" x14ac:dyDescent="0.3">
      <c r="A140" s="259" t="str">
        <f t="shared" si="132"/>
        <v>Sprayers High_Clearance_Sprayer 1600 US gal, 130 ft boom</v>
      </c>
      <c r="B140" s="260" t="s">
        <v>16</v>
      </c>
      <c r="C140" s="261" t="s">
        <v>303</v>
      </c>
      <c r="D140" s="261" t="s">
        <v>837</v>
      </c>
      <c r="E140" s="263" t="s">
        <v>139</v>
      </c>
      <c r="F140" s="256">
        <v>638100</v>
      </c>
      <c r="G140" s="48">
        <f t="shared" si="140"/>
        <v>640000</v>
      </c>
      <c r="H140" s="52"/>
      <c r="I140" s="53" t="s">
        <v>376</v>
      </c>
      <c r="J140" s="56" t="s">
        <v>662</v>
      </c>
      <c r="K140" s="57"/>
      <c r="L140" s="57"/>
      <c r="M140" s="57"/>
      <c r="N140" s="53" t="s">
        <v>659</v>
      </c>
      <c r="O140" s="53" t="s">
        <v>663</v>
      </c>
      <c r="P140" s="54"/>
      <c r="Q140" s="54"/>
      <c r="R140" s="54"/>
      <c r="S140" s="53" t="s">
        <v>13</v>
      </c>
      <c r="T140" s="53" t="s">
        <v>664</v>
      </c>
      <c r="U140" s="54"/>
      <c r="V140" s="54"/>
      <c r="W140" s="52"/>
      <c r="X140" s="8">
        <v>8</v>
      </c>
      <c r="Y140" s="8">
        <v>200</v>
      </c>
      <c r="Z140" s="9">
        <v>3.5</v>
      </c>
      <c r="AA140" s="8">
        <v>70</v>
      </c>
      <c r="AB140" s="104">
        <v>10</v>
      </c>
      <c r="AC140" s="8">
        <v>105</v>
      </c>
      <c r="AD140" s="94">
        <f>ROUND((AB140*5280*AC140*Field_efficiency)/43560,0)</f>
        <v>102</v>
      </c>
      <c r="AE140" s="8" t="s">
        <v>713</v>
      </c>
      <c r="AF140" s="95">
        <f t="shared" si="98"/>
        <v>367.88842878135483</v>
      </c>
      <c r="AG140" s="95">
        <f t="shared" si="141"/>
        <v>111.66750000000002</v>
      </c>
      <c r="AH140" s="95">
        <f t="shared" si="100"/>
        <v>71.933389317203222</v>
      </c>
      <c r="AI140" s="95">
        <f t="shared" si="142"/>
        <v>551.4893180985581</v>
      </c>
      <c r="AJ140" s="7">
        <f>AA140*Fuel_Price</f>
        <v>88.76</v>
      </c>
      <c r="AK140" s="7">
        <f>Labour</f>
        <v>27</v>
      </c>
      <c r="AL140" s="7">
        <f>Margin_percentage*(AJ140+AK140)</f>
        <v>17.364000000000001</v>
      </c>
      <c r="AM140" s="7"/>
      <c r="AN140" s="95">
        <f t="shared" si="143"/>
        <v>684.61331809855812</v>
      </c>
      <c r="AO140" s="95">
        <f t="shared" si="139"/>
        <v>6.7118952754760599</v>
      </c>
      <c r="AP140" s="8" t="s">
        <v>724</v>
      </c>
    </row>
    <row r="141" spans="1:48" ht="15.75" customHeight="1" thickBot="1" x14ac:dyDescent="0.3">
      <c r="A141" s="259" t="str">
        <f t="shared" si="132"/>
        <v>Miscellaneous Post_Pounder 3PT hitch (requires 55 hp)</v>
      </c>
      <c r="B141" s="260" t="s">
        <v>20</v>
      </c>
      <c r="C141" s="261" t="s">
        <v>304</v>
      </c>
      <c r="D141" s="261" t="s">
        <v>261</v>
      </c>
      <c r="E141" s="262" t="s">
        <v>140</v>
      </c>
      <c r="F141" s="256">
        <v>10100</v>
      </c>
      <c r="G141" s="70">
        <f>ROUND(F141,-2)</f>
        <v>10100</v>
      </c>
      <c r="H141" s="11"/>
      <c r="I141" s="60" t="s">
        <v>665</v>
      </c>
      <c r="J141" s="60" t="s">
        <v>666</v>
      </c>
      <c r="K141" s="61"/>
      <c r="L141" s="61"/>
      <c r="M141" s="61"/>
      <c r="N141" s="60" t="s">
        <v>500</v>
      </c>
      <c r="O141" s="60">
        <v>1450</v>
      </c>
      <c r="P141" s="61"/>
      <c r="Q141" s="61"/>
      <c r="R141" s="61"/>
      <c r="S141" s="60"/>
      <c r="T141" s="60"/>
      <c r="U141" s="61"/>
      <c r="V141" s="61"/>
      <c r="W141" s="11"/>
      <c r="X141" s="8">
        <v>20</v>
      </c>
      <c r="Y141" s="8">
        <v>40</v>
      </c>
      <c r="Z141" s="9">
        <v>2</v>
      </c>
      <c r="AA141" s="8"/>
      <c r="AD141" s="8"/>
      <c r="AE141" s="8"/>
      <c r="AF141" s="95">
        <f t="shared" si="98"/>
        <v>13.161052752520559</v>
      </c>
      <c r="AG141" s="95">
        <f t="shared" si="141"/>
        <v>5.05</v>
      </c>
      <c r="AH141" s="95">
        <f t="shared" si="100"/>
        <v>2.7316579128780836</v>
      </c>
      <c r="AI141" s="95">
        <f t="shared" si="142"/>
        <v>20.942710665398643</v>
      </c>
      <c r="AJ141" s="7"/>
      <c r="AK141" s="7"/>
      <c r="AL141" s="7"/>
      <c r="AM141" s="7">
        <f>AN6</f>
        <v>99.575095161941121</v>
      </c>
      <c r="AN141" s="95">
        <f>AI141+AM141</f>
        <v>120.51780582733977</v>
      </c>
      <c r="AO141" s="95"/>
      <c r="AP141" s="8"/>
    </row>
    <row r="142" spans="1:48" ht="15.75" customHeight="1" thickBot="1" x14ac:dyDescent="0.3">
      <c r="A142" s="259" t="str">
        <f t="shared" si="132"/>
        <v>Miscellaneous Post_Pounder Trailer mounted with engine</v>
      </c>
      <c r="B142" s="260" t="s">
        <v>20</v>
      </c>
      <c r="C142" s="261" t="s">
        <v>304</v>
      </c>
      <c r="D142" s="261" t="s">
        <v>262</v>
      </c>
      <c r="E142" s="264" t="s">
        <v>141</v>
      </c>
      <c r="F142" s="256">
        <v>21000</v>
      </c>
      <c r="G142" s="59">
        <f>ROUND(F142,-3)</f>
        <v>21000</v>
      </c>
      <c r="H142" s="63"/>
      <c r="I142" s="64" t="s">
        <v>494</v>
      </c>
      <c r="J142" s="64" t="s">
        <v>667</v>
      </c>
      <c r="K142" s="65"/>
      <c r="L142" s="65"/>
      <c r="M142" s="65"/>
      <c r="N142" s="64" t="s">
        <v>668</v>
      </c>
      <c r="O142" s="64" t="s">
        <v>669</v>
      </c>
      <c r="P142" s="65"/>
      <c r="Q142" s="65"/>
      <c r="R142" s="65"/>
      <c r="S142" s="64"/>
      <c r="T142" s="64"/>
      <c r="U142" s="65"/>
      <c r="V142" s="65"/>
      <c r="W142" s="63"/>
      <c r="X142" s="8">
        <v>20</v>
      </c>
      <c r="Y142" s="8">
        <v>40</v>
      </c>
      <c r="Z142" s="9">
        <v>2</v>
      </c>
      <c r="AA142" s="8"/>
      <c r="AD142" s="8"/>
      <c r="AE142" s="8"/>
      <c r="AF142" s="95">
        <f t="shared" si="98"/>
        <v>27.364565129003143</v>
      </c>
      <c r="AG142" s="95">
        <f t="shared" ref="AG142:AG143" si="144">Z142/100*F142/Y142</f>
        <v>10.5</v>
      </c>
      <c r="AH142" s="95">
        <f t="shared" si="100"/>
        <v>5.6796847693504704</v>
      </c>
      <c r="AI142" s="95">
        <f t="shared" ref="AI142:AI143" si="145">AF142+AG142+AH142</f>
        <v>43.544249898353613</v>
      </c>
      <c r="AJ142" s="7"/>
      <c r="AK142" s="7"/>
      <c r="AL142" s="7"/>
      <c r="AM142" s="7" t="s">
        <v>39</v>
      </c>
      <c r="AN142" s="95" t="s">
        <v>39</v>
      </c>
      <c r="AO142" s="95"/>
      <c r="AP142" s="8"/>
    </row>
    <row r="143" spans="1:48" ht="15.75" customHeight="1" thickBot="1" x14ac:dyDescent="0.3">
      <c r="A143" s="259" t="str">
        <f t="shared" si="132"/>
        <v>Miscellaneous Post_Pounder Skidsteer Mount (requires 55 hp)</v>
      </c>
      <c r="B143" s="260" t="s">
        <v>20</v>
      </c>
      <c r="C143" s="261" t="s">
        <v>304</v>
      </c>
      <c r="D143" s="261" t="s">
        <v>263</v>
      </c>
      <c r="E143" s="263" t="s">
        <v>142</v>
      </c>
      <c r="F143" s="256">
        <v>7400</v>
      </c>
      <c r="G143" s="70">
        <f>ROUND(F143,-2)</f>
        <v>7400</v>
      </c>
      <c r="H143" s="66"/>
      <c r="I143" s="64" t="s">
        <v>670</v>
      </c>
      <c r="J143" s="64" t="s">
        <v>671</v>
      </c>
      <c r="K143" s="65"/>
      <c r="L143" s="65"/>
      <c r="M143" s="65"/>
      <c r="N143" s="64" t="s">
        <v>672</v>
      </c>
      <c r="O143" s="64" t="s">
        <v>673</v>
      </c>
      <c r="P143" s="65"/>
      <c r="Q143" s="65"/>
      <c r="R143" s="65"/>
      <c r="S143" s="64" t="s">
        <v>478</v>
      </c>
      <c r="T143" s="64" t="s">
        <v>674</v>
      </c>
      <c r="U143" s="65"/>
      <c r="V143" s="65"/>
      <c r="W143" s="63"/>
      <c r="X143" s="8">
        <v>20</v>
      </c>
      <c r="Y143" s="8">
        <v>40</v>
      </c>
      <c r="Z143" s="9">
        <v>2</v>
      </c>
      <c r="AA143" s="8"/>
      <c r="AD143" s="8"/>
      <c r="AE143" s="8"/>
      <c r="AF143" s="95">
        <f t="shared" ref="AF143:AF159" si="146">(F143*Fraction_dep_over_optimal_life/X143/Y143)+IF(Machinery_Financed_percentage=0,0,(-CUMIPMT(Interest_Rate/2,Payback_loan_period_years*2,F143*Machinery_Financed_percentage,1,Payback_loan_period_years*2,0)/X143/Y143))+((F143*(1-Machinery_Financed_percentage)*(1+Opportunity_Rate/12)^(Opp_inv_period_years*12)-(F143*(1-Machinery_Financed_percentage)))/X143/Y143)+(Insurance_and_Housing*F143/Y143)</f>
        <v>9.6427515216487265</v>
      </c>
      <c r="AG143" s="95">
        <f t="shared" si="144"/>
        <v>3.7</v>
      </c>
      <c r="AH143" s="95">
        <f t="shared" ref="AH143:AH159" si="147">Margin_percentage*(AF143+AG143)</f>
        <v>2.0014127282473089</v>
      </c>
      <c r="AI143" s="95">
        <f t="shared" si="145"/>
        <v>15.344164249896036</v>
      </c>
      <c r="AJ143" s="7"/>
      <c r="AK143" s="7"/>
      <c r="AL143" s="7"/>
      <c r="AM143" s="7">
        <f>AN6</f>
        <v>99.575095161941121</v>
      </c>
      <c r="AN143" s="95">
        <f>AI143+AM143</f>
        <v>114.91925941183716</v>
      </c>
      <c r="AO143" s="95"/>
      <c r="AP143" s="8"/>
    </row>
    <row r="144" spans="1:48" ht="15.75" customHeight="1" thickBot="1" x14ac:dyDescent="0.3">
      <c r="A144" s="259" t="str">
        <f t="shared" si="132"/>
        <v>Miscellaneous Vertical_Feed_Mixer 280-360 cubic  ft (requires 110 hp)</v>
      </c>
      <c r="B144" s="260" t="s">
        <v>20</v>
      </c>
      <c r="C144" s="261" t="s">
        <v>305</v>
      </c>
      <c r="D144" s="261" t="s">
        <v>264</v>
      </c>
      <c r="E144" s="262" t="s">
        <v>143</v>
      </c>
      <c r="F144" s="256">
        <v>44200</v>
      </c>
      <c r="G144" s="59">
        <f>ROUND(F144,-3)</f>
        <v>44000</v>
      </c>
      <c r="H144" s="11"/>
      <c r="I144" s="60" t="s">
        <v>675</v>
      </c>
      <c r="J144" s="60">
        <v>1330</v>
      </c>
      <c r="K144" s="61"/>
      <c r="L144" s="61"/>
      <c r="M144" s="61"/>
      <c r="N144" s="60" t="s">
        <v>676</v>
      </c>
      <c r="O144" s="60" t="s">
        <v>595</v>
      </c>
      <c r="P144" s="61"/>
      <c r="Q144" s="61"/>
      <c r="R144" s="61"/>
      <c r="S144" s="60"/>
      <c r="T144" s="60"/>
      <c r="U144" s="61"/>
      <c r="V144" s="61"/>
      <c r="W144" s="11"/>
      <c r="X144" s="8">
        <v>15</v>
      </c>
      <c r="Y144" s="8">
        <v>200</v>
      </c>
      <c r="Z144" s="9">
        <v>2.5</v>
      </c>
      <c r="AA144" s="8"/>
      <c r="AD144" s="8"/>
      <c r="AE144" s="8"/>
      <c r="AF144" s="95">
        <f t="shared" si="146"/>
        <v>14.622238459707159</v>
      </c>
      <c r="AG144" s="95">
        <f t="shared" ref="AG144" si="148">Z144/100*F144/Y144</f>
        <v>5.5250000000000004</v>
      </c>
      <c r="AH144" s="95">
        <f t="shared" si="147"/>
        <v>3.0220857689560741</v>
      </c>
      <c r="AI144" s="95">
        <f t="shared" ref="AI144" si="149">AF144+AG144+AH144</f>
        <v>23.169324228663235</v>
      </c>
      <c r="AJ144" s="7"/>
      <c r="AK144" s="7"/>
      <c r="AL144" s="7"/>
      <c r="AM144" s="7">
        <f>AN8</f>
        <v>124.35989319840716</v>
      </c>
      <c r="AN144" s="95">
        <f>AI144+AM144</f>
        <v>147.52921742707039</v>
      </c>
      <c r="AO144" s="95"/>
      <c r="AP144" s="8"/>
    </row>
    <row r="145" spans="1:42" ht="15.75" customHeight="1" thickBot="1" x14ac:dyDescent="0.3">
      <c r="A145" s="259" t="str">
        <f t="shared" si="132"/>
        <v>Miscellaneous Vertical_Feed_Mixer 500-750 cubic  ft (requires 135 hp)</v>
      </c>
      <c r="B145" s="260" t="s">
        <v>20</v>
      </c>
      <c r="C145" s="261" t="s">
        <v>305</v>
      </c>
      <c r="D145" s="261" t="s">
        <v>265</v>
      </c>
      <c r="E145" s="264" t="s">
        <v>144</v>
      </c>
      <c r="F145" s="256">
        <v>73300</v>
      </c>
      <c r="G145" s="48">
        <f>ROUND(F145/5000,0)*5000</f>
        <v>75000</v>
      </c>
      <c r="H145" s="84"/>
      <c r="I145" s="85" t="s">
        <v>675</v>
      </c>
      <c r="J145" s="85" t="s">
        <v>595</v>
      </c>
      <c r="K145" s="86"/>
      <c r="L145" s="86"/>
      <c r="M145" s="86"/>
      <c r="N145" s="85" t="s">
        <v>676</v>
      </c>
      <c r="O145" s="85" t="s">
        <v>595</v>
      </c>
      <c r="P145" s="86"/>
      <c r="Q145" s="86"/>
      <c r="R145" s="86"/>
      <c r="S145" s="85"/>
      <c r="T145" s="85"/>
      <c r="U145" s="86"/>
      <c r="V145" s="86"/>
      <c r="W145" s="69"/>
      <c r="X145" s="8">
        <v>15</v>
      </c>
      <c r="Y145" s="8">
        <v>200</v>
      </c>
      <c r="Z145" s="9">
        <v>2.5</v>
      </c>
      <c r="AA145" s="8"/>
      <c r="AD145" s="8"/>
      <c r="AE145" s="8"/>
      <c r="AF145" s="95">
        <f t="shared" si="146"/>
        <v>24.249096812138795</v>
      </c>
      <c r="AG145" s="95">
        <f t="shared" ref="AG145:AG146" si="150">Z145/100*F145/Y145</f>
        <v>9.1624999999999996</v>
      </c>
      <c r="AH145" s="95">
        <f t="shared" si="147"/>
        <v>5.0117395218208189</v>
      </c>
      <c r="AI145" s="95">
        <f t="shared" ref="AI145:AI146" si="151">AF145+AG145+AH145</f>
        <v>38.423336333959618</v>
      </c>
      <c r="AJ145" s="7"/>
      <c r="AK145" s="7"/>
      <c r="AL145" s="7"/>
      <c r="AM145" s="7">
        <f>AN8</f>
        <v>124.35989319840716</v>
      </c>
      <c r="AN145" s="95">
        <f t="shared" ref="AN145:AN146" si="152">AI145+AM145</f>
        <v>162.78322953236679</v>
      </c>
      <c r="AO145" s="95"/>
      <c r="AP145" s="8"/>
    </row>
    <row r="146" spans="1:42" ht="15.75" customHeight="1" thickBot="1" x14ac:dyDescent="0.3">
      <c r="A146" s="259" t="str">
        <f t="shared" si="132"/>
        <v>Miscellaneous Vertical_Feed_Mixer 830-1,150 cubic  ft (requires 150 hp)</v>
      </c>
      <c r="B146" s="260" t="s">
        <v>20</v>
      </c>
      <c r="C146" s="261" t="s">
        <v>305</v>
      </c>
      <c r="D146" s="261" t="s">
        <v>266</v>
      </c>
      <c r="E146" s="263" t="s">
        <v>145</v>
      </c>
      <c r="F146" s="256">
        <v>102800</v>
      </c>
      <c r="G146" s="48">
        <f>ROUND(F146/5000,0)*5000</f>
        <v>105000</v>
      </c>
      <c r="H146" s="66"/>
      <c r="I146" s="67" t="s">
        <v>675</v>
      </c>
      <c r="J146" s="67" t="s">
        <v>595</v>
      </c>
      <c r="K146" s="68"/>
      <c r="L146" s="68"/>
      <c r="M146" s="68"/>
      <c r="N146" s="67" t="s">
        <v>676</v>
      </c>
      <c r="O146" s="67" t="s">
        <v>595</v>
      </c>
      <c r="P146" s="68"/>
      <c r="Q146" s="68"/>
      <c r="R146" s="68"/>
      <c r="S146" s="67"/>
      <c r="T146" s="67"/>
      <c r="U146" s="68"/>
      <c r="V146" s="68"/>
      <c r="W146" s="66"/>
      <c r="X146" s="8">
        <v>15</v>
      </c>
      <c r="Y146" s="8">
        <v>200</v>
      </c>
      <c r="Z146" s="9">
        <v>2.5</v>
      </c>
      <c r="AA146" s="8"/>
      <c r="AD146" s="8"/>
      <c r="AE146" s="8"/>
      <c r="AF146" s="95">
        <f t="shared" si="146"/>
        <v>34.008283114432032</v>
      </c>
      <c r="AG146" s="95">
        <f t="shared" si="150"/>
        <v>12.85</v>
      </c>
      <c r="AH146" s="95">
        <f t="shared" si="147"/>
        <v>7.0287424671648049</v>
      </c>
      <c r="AI146" s="95">
        <f t="shared" si="151"/>
        <v>53.887025581596838</v>
      </c>
      <c r="AJ146" s="7"/>
      <c r="AK146" s="7"/>
      <c r="AL146" s="7"/>
      <c r="AM146" s="7">
        <f>AN8</f>
        <v>124.35989319840716</v>
      </c>
      <c r="AN146" s="95">
        <f t="shared" si="152"/>
        <v>178.24691878000399</v>
      </c>
      <c r="AO146" s="95"/>
      <c r="AP146" s="8"/>
    </row>
    <row r="147" spans="1:42" ht="15.75" customHeight="1" thickBot="1" x14ac:dyDescent="0.3">
      <c r="A147" s="259" t="str">
        <f t="shared" si="132"/>
        <v>Miscellaneous Feed_Mixer Two 6 ft bale, 40 bu grain (requires 100 hp)</v>
      </c>
      <c r="B147" s="260" t="s">
        <v>20</v>
      </c>
      <c r="C147" s="261" t="s">
        <v>307</v>
      </c>
      <c r="D147" s="261" t="s">
        <v>269</v>
      </c>
      <c r="E147" s="275" t="s">
        <v>146</v>
      </c>
      <c r="F147" s="256">
        <v>48600</v>
      </c>
      <c r="G147" s="59">
        <f>ROUND(F147,-3)</f>
        <v>49000</v>
      </c>
      <c r="H147" s="87"/>
      <c r="I147" s="88" t="s">
        <v>560</v>
      </c>
      <c r="J147" s="88" t="s">
        <v>595</v>
      </c>
      <c r="K147" s="89"/>
      <c r="L147" s="89"/>
      <c r="M147" s="89"/>
      <c r="N147" s="88"/>
      <c r="O147" s="88"/>
      <c r="P147" s="89"/>
      <c r="Q147" s="89"/>
      <c r="R147" s="89"/>
      <c r="S147" s="88"/>
      <c r="T147" s="88"/>
      <c r="U147" s="89"/>
      <c r="V147" s="89"/>
      <c r="W147" s="87"/>
      <c r="X147" s="8">
        <v>15</v>
      </c>
      <c r="Y147" s="8">
        <v>200</v>
      </c>
      <c r="Z147" s="9">
        <v>3</v>
      </c>
      <c r="AA147" s="8"/>
      <c r="AD147" s="8"/>
      <c r="AE147" s="8"/>
      <c r="AF147" s="95">
        <f t="shared" si="146"/>
        <v>16.077845908184798</v>
      </c>
      <c r="AG147" s="95">
        <f t="shared" ref="AG147" si="153">Z147/100*F147/Y147</f>
        <v>7.29</v>
      </c>
      <c r="AH147" s="95">
        <f t="shared" si="147"/>
        <v>3.5051768862277197</v>
      </c>
      <c r="AI147" s="95">
        <f t="shared" ref="AI147" si="154">AF147+AG147+AH147</f>
        <v>26.873022794412517</v>
      </c>
      <c r="AJ147" s="7"/>
      <c r="AK147" s="7"/>
      <c r="AL147" s="7"/>
      <c r="AM147" s="7">
        <f>AN8</f>
        <v>124.35989319840716</v>
      </c>
      <c r="AN147" s="95">
        <f t="shared" ref="AN147" si="155">AI147+AM147</f>
        <v>151.23291599281967</v>
      </c>
      <c r="AO147" s="95"/>
      <c r="AP147" s="8"/>
    </row>
    <row r="148" spans="1:42" ht="15.75" customHeight="1" thickBot="1" x14ac:dyDescent="0.3">
      <c r="A148" s="259" t="str">
        <f t="shared" si="132"/>
        <v>Miscellaneous Grinder_Mixer 360-440 cubic  ft (requires 120 hp)</v>
      </c>
      <c r="B148" s="260" t="s">
        <v>20</v>
      </c>
      <c r="C148" s="261" t="s">
        <v>306</v>
      </c>
      <c r="D148" s="261" t="s">
        <v>267</v>
      </c>
      <c r="E148" s="262" t="s">
        <v>147</v>
      </c>
      <c r="F148" s="256">
        <v>77100</v>
      </c>
      <c r="G148" s="59">
        <f>ROUND(F148,-3)</f>
        <v>77000</v>
      </c>
      <c r="H148" s="11"/>
      <c r="I148" s="60" t="s">
        <v>677</v>
      </c>
      <c r="J148" s="60" t="s">
        <v>595</v>
      </c>
      <c r="K148" s="61"/>
      <c r="L148" s="61"/>
      <c r="M148" s="61"/>
      <c r="N148" s="60"/>
      <c r="O148" s="60"/>
      <c r="P148" s="61"/>
      <c r="Q148" s="61"/>
      <c r="R148" s="61"/>
      <c r="S148" s="60"/>
      <c r="T148" s="60"/>
      <c r="U148" s="61"/>
      <c r="V148" s="61"/>
      <c r="W148" s="11"/>
      <c r="X148" s="8">
        <v>15</v>
      </c>
      <c r="Y148" s="8">
        <v>200</v>
      </c>
      <c r="Z148" s="9">
        <v>3</v>
      </c>
      <c r="AA148" s="8"/>
      <c r="AD148" s="8"/>
      <c r="AE148" s="8"/>
      <c r="AF148" s="95">
        <f t="shared" si="146"/>
        <v>25.506212335824028</v>
      </c>
      <c r="AG148" s="95">
        <f t="shared" ref="AG148:AG149" si="156">Z148/100*F148/Y148</f>
        <v>11.565</v>
      </c>
      <c r="AH148" s="95">
        <f t="shared" si="147"/>
        <v>5.5606818503736042</v>
      </c>
      <c r="AI148" s="95">
        <f t="shared" ref="AI148:AI149" si="157">AF148+AG148+AH148</f>
        <v>42.631894186197634</v>
      </c>
      <c r="AJ148" s="7"/>
      <c r="AK148" s="7"/>
      <c r="AL148" s="7"/>
      <c r="AM148" s="7">
        <f>AN8</f>
        <v>124.35989319840716</v>
      </c>
      <c r="AN148" s="95">
        <f t="shared" ref="AN148:AN149" si="158">AI148+AM148</f>
        <v>166.99178738460481</v>
      </c>
      <c r="AO148" s="95"/>
      <c r="AP148" s="8"/>
    </row>
    <row r="149" spans="1:42" ht="15.75" customHeight="1" thickBot="1" x14ac:dyDescent="0.3">
      <c r="A149" s="259" t="str">
        <f t="shared" si="132"/>
        <v>Miscellaneous Grinder_Mixer 550-750 cubic  ft (requires 200 hp)</v>
      </c>
      <c r="B149" s="260" t="s">
        <v>20</v>
      </c>
      <c r="C149" s="261" t="s">
        <v>306</v>
      </c>
      <c r="D149" s="261" t="s">
        <v>268</v>
      </c>
      <c r="E149" s="263" t="s">
        <v>144</v>
      </c>
      <c r="F149" s="256">
        <v>94100</v>
      </c>
      <c r="G149" s="48">
        <f>ROUND(F149/5000,0)*5000</f>
        <v>95000</v>
      </c>
      <c r="H149" s="66"/>
      <c r="I149" s="67" t="s">
        <v>593</v>
      </c>
      <c r="J149" s="67" t="s">
        <v>594</v>
      </c>
      <c r="K149" s="68"/>
      <c r="L149" s="68"/>
      <c r="M149" s="68"/>
      <c r="N149" s="67"/>
      <c r="O149" s="67"/>
      <c r="P149" s="68"/>
      <c r="Q149" s="68"/>
      <c r="R149" s="68"/>
      <c r="S149" s="67"/>
      <c r="T149" s="67"/>
      <c r="U149" s="68"/>
      <c r="V149" s="68"/>
      <c r="W149" s="66"/>
      <c r="X149" s="8">
        <v>15</v>
      </c>
      <c r="Y149" s="8">
        <v>200</v>
      </c>
      <c r="Z149" s="9">
        <v>3</v>
      </c>
      <c r="AA149" s="8"/>
      <c r="AD149" s="8"/>
      <c r="AE149" s="8"/>
      <c r="AF149" s="95">
        <f t="shared" si="146"/>
        <v>31.130150204942161</v>
      </c>
      <c r="AG149" s="95">
        <f t="shared" si="156"/>
        <v>14.115</v>
      </c>
      <c r="AH149" s="95">
        <f t="shared" si="147"/>
        <v>6.7867725307413247</v>
      </c>
      <c r="AI149" s="95">
        <f t="shared" si="157"/>
        <v>52.031922735683487</v>
      </c>
      <c r="AJ149" s="7"/>
      <c r="AK149" s="7"/>
      <c r="AL149" s="7"/>
      <c r="AM149" s="7">
        <f>AN9</f>
        <v>155.14636807957388</v>
      </c>
      <c r="AN149" s="95">
        <f t="shared" si="158"/>
        <v>207.17829081525736</v>
      </c>
      <c r="AO149" s="95"/>
      <c r="AP149" s="8"/>
    </row>
    <row r="150" spans="1:42" ht="15.75" customHeight="1" thickBot="1" x14ac:dyDescent="0.3">
      <c r="A150" s="259" t="str">
        <f t="shared" si="132"/>
        <v>Miscellaneous Bale_Processor Two 6 ft round bale (requires 155 hp)</v>
      </c>
      <c r="B150" s="260" t="s">
        <v>20</v>
      </c>
      <c r="C150" s="261" t="s">
        <v>308</v>
      </c>
      <c r="D150" s="261" t="s">
        <v>270</v>
      </c>
      <c r="E150" s="262" t="s">
        <v>148</v>
      </c>
      <c r="F150" s="256">
        <v>40900</v>
      </c>
      <c r="G150" s="59">
        <f>ROUND(F150,-3)</f>
        <v>41000</v>
      </c>
      <c r="H150" s="11"/>
      <c r="I150" s="60" t="s">
        <v>580</v>
      </c>
      <c r="J150" s="60" t="s">
        <v>595</v>
      </c>
      <c r="K150" s="61"/>
      <c r="L150" s="61"/>
      <c r="M150" s="61"/>
      <c r="N150" s="60"/>
      <c r="O150" s="60"/>
      <c r="P150" s="61"/>
      <c r="Q150" s="61"/>
      <c r="R150" s="61"/>
      <c r="S150" s="60"/>
      <c r="T150" s="60"/>
      <c r="U150" s="61"/>
      <c r="V150" s="61"/>
      <c r="W150" s="11"/>
      <c r="X150" s="8">
        <v>15</v>
      </c>
      <c r="Y150" s="8">
        <v>200</v>
      </c>
      <c r="Z150" s="9">
        <v>3</v>
      </c>
      <c r="AA150" s="8"/>
      <c r="AD150" s="8"/>
      <c r="AE150" s="8"/>
      <c r="AF150" s="95">
        <f t="shared" si="146"/>
        <v>13.530532873348932</v>
      </c>
      <c r="AG150" s="95">
        <f t="shared" ref="AG150:AG151" si="159">Z150/100*F150/Y150</f>
        <v>6.1349999999999998</v>
      </c>
      <c r="AH150" s="95">
        <f t="shared" si="147"/>
        <v>2.9498299310023395</v>
      </c>
      <c r="AI150" s="95">
        <f t="shared" ref="AI150:AI151" si="160">AF150+AG150+AH150</f>
        <v>22.615362804351271</v>
      </c>
      <c r="AJ150" s="7"/>
      <c r="AK150" s="7"/>
      <c r="AL150" s="7"/>
      <c r="AM150" s="7">
        <f>AN8</f>
        <v>124.35989319840716</v>
      </c>
      <c r="AN150" s="95">
        <f t="shared" ref="AN150:AN151" si="161">AI150+AM150</f>
        <v>146.97525600275844</v>
      </c>
      <c r="AO150" s="95"/>
      <c r="AP150" s="8"/>
    </row>
    <row r="151" spans="1:42" ht="15.75" customHeight="1" thickBot="1" x14ac:dyDescent="0.3">
      <c r="A151" s="259" t="str">
        <f t="shared" si="132"/>
        <v>Miscellaneous Bale_Processor Six  6 ft round bale (requires 175 hp)</v>
      </c>
      <c r="B151" s="260" t="s">
        <v>20</v>
      </c>
      <c r="C151" s="261" t="s">
        <v>308</v>
      </c>
      <c r="D151" s="261" t="s">
        <v>271</v>
      </c>
      <c r="E151" s="263" t="s">
        <v>149</v>
      </c>
      <c r="F151" s="256">
        <v>62600</v>
      </c>
      <c r="G151" s="48">
        <f>ROUND(F151/5000,0)*5000</f>
        <v>65000</v>
      </c>
      <c r="H151" s="66"/>
      <c r="I151" s="67" t="s">
        <v>678</v>
      </c>
      <c r="J151" s="67" t="s">
        <v>595</v>
      </c>
      <c r="K151" s="68"/>
      <c r="L151" s="68"/>
      <c r="M151" s="68"/>
      <c r="N151" s="67"/>
      <c r="O151" s="67"/>
      <c r="P151" s="68"/>
      <c r="Q151" s="68"/>
      <c r="R151" s="68"/>
      <c r="S151" s="67"/>
      <c r="T151" s="67"/>
      <c r="U151" s="68"/>
      <c r="V151" s="68"/>
      <c r="W151" s="66"/>
      <c r="X151" s="8">
        <v>15</v>
      </c>
      <c r="Y151" s="8">
        <v>200</v>
      </c>
      <c r="Z151" s="9">
        <v>3</v>
      </c>
      <c r="AA151" s="8"/>
      <c r="AD151" s="8"/>
      <c r="AE151" s="8"/>
      <c r="AF151" s="95">
        <f t="shared" si="146"/>
        <v>20.709324153340912</v>
      </c>
      <c r="AG151" s="95">
        <f t="shared" si="159"/>
        <v>9.39</v>
      </c>
      <c r="AH151" s="95">
        <f t="shared" si="147"/>
        <v>4.5148986230011365</v>
      </c>
      <c r="AI151" s="95">
        <f t="shared" si="160"/>
        <v>34.614222776342046</v>
      </c>
      <c r="AJ151" s="7"/>
      <c r="AK151" s="7"/>
      <c r="AL151" s="7"/>
      <c r="AM151" s="7">
        <f>AN9</f>
        <v>155.14636807957388</v>
      </c>
      <c r="AN151" s="95">
        <f t="shared" si="161"/>
        <v>189.76059085591592</v>
      </c>
      <c r="AO151" s="95"/>
      <c r="AP151" s="8"/>
    </row>
    <row r="152" spans="1:42" ht="15.75" customHeight="1" thickBot="1" x14ac:dyDescent="0.3">
      <c r="A152" s="259" t="str">
        <f t="shared" ref="A152:A159" si="162">B152&amp;" "&amp;C152&amp;" "&amp;D152</f>
        <v>Miscellaneous Manure_Spreader_solid 250-299 cubic ft level, chain unload (requires 120 hp)</v>
      </c>
      <c r="B152" s="260" t="s">
        <v>20</v>
      </c>
      <c r="C152" s="261" t="s">
        <v>354</v>
      </c>
      <c r="D152" s="261" t="s">
        <v>272</v>
      </c>
      <c r="E152" s="262" t="s">
        <v>150</v>
      </c>
      <c r="F152" s="256">
        <v>23300</v>
      </c>
      <c r="G152" s="59">
        <f>ROUND(F152,-3)</f>
        <v>23000</v>
      </c>
      <c r="H152" s="51"/>
      <c r="I152" s="50" t="s">
        <v>459</v>
      </c>
      <c r="J152" s="50" t="s">
        <v>679</v>
      </c>
      <c r="K152" s="51"/>
      <c r="L152" s="51"/>
      <c r="M152" s="51"/>
      <c r="N152" s="50" t="s">
        <v>680</v>
      </c>
      <c r="O152" s="50" t="s">
        <v>681</v>
      </c>
      <c r="P152" s="51"/>
      <c r="Q152" s="51"/>
      <c r="R152" s="51"/>
      <c r="S152" s="50" t="s">
        <v>376</v>
      </c>
      <c r="T152" s="50" t="s">
        <v>682</v>
      </c>
      <c r="U152" s="51"/>
      <c r="V152" s="51"/>
      <c r="W152" s="49"/>
      <c r="X152" s="8">
        <v>10</v>
      </c>
      <c r="Y152" s="8">
        <v>100</v>
      </c>
      <c r="Z152" s="9">
        <v>4.4000000000000004</v>
      </c>
      <c r="AA152" s="8"/>
      <c r="AD152" s="8"/>
      <c r="AE152" s="8"/>
      <c r="AF152" s="95">
        <f t="shared" si="146"/>
        <v>21.959309238315171</v>
      </c>
      <c r="AG152" s="95">
        <f t="shared" ref="AG152:AG159" si="163">Z152/100*F152/Y152</f>
        <v>10.252000000000001</v>
      </c>
      <c r="AH152" s="95">
        <f t="shared" si="147"/>
        <v>4.8316963857472759</v>
      </c>
      <c r="AI152" s="95">
        <f t="shared" ref="AI152:AI159" si="164">AF152+AG152+AH152</f>
        <v>37.043005624062452</v>
      </c>
      <c r="AJ152" s="7"/>
      <c r="AK152" s="7"/>
      <c r="AL152" s="7"/>
      <c r="AM152" s="7">
        <f>AN8</f>
        <v>124.35989319840716</v>
      </c>
      <c r="AN152" s="95">
        <f t="shared" ref="AN152:AN159" si="165">AI152+AM152</f>
        <v>161.40289882246961</v>
      </c>
      <c r="AO152" s="95"/>
      <c r="AP152" s="8"/>
    </row>
    <row r="153" spans="1:42" ht="15.75" customHeight="1" thickBot="1" x14ac:dyDescent="0.3">
      <c r="A153" s="259" t="str">
        <f t="shared" si="162"/>
        <v>Miscellaneous Manure_Spreader_solid 300-399 cubic ft level, chain unload (requires 125 hp)</v>
      </c>
      <c r="B153" s="260" t="s">
        <v>20</v>
      </c>
      <c r="C153" s="261" t="s">
        <v>354</v>
      </c>
      <c r="D153" s="261" t="s">
        <v>273</v>
      </c>
      <c r="E153" s="264" t="s">
        <v>151</v>
      </c>
      <c r="F153" s="256">
        <v>32500</v>
      </c>
      <c r="G153" s="59">
        <f t="shared" ref="G153:G155" si="166">ROUND(F153,-3)</f>
        <v>33000</v>
      </c>
      <c r="H153" s="57"/>
      <c r="I153" s="74" t="s">
        <v>459</v>
      </c>
      <c r="J153" s="74" t="s">
        <v>683</v>
      </c>
      <c r="K153" s="75"/>
      <c r="L153" s="75"/>
      <c r="M153" s="75"/>
      <c r="N153" s="74" t="s">
        <v>680</v>
      </c>
      <c r="O153" s="74" t="s">
        <v>684</v>
      </c>
      <c r="P153" s="75"/>
      <c r="Q153" s="75"/>
      <c r="R153" s="75"/>
      <c r="S153" s="74" t="s">
        <v>376</v>
      </c>
      <c r="T153" s="74" t="s">
        <v>685</v>
      </c>
      <c r="U153" s="75"/>
      <c r="V153" s="75"/>
      <c r="W153" s="73"/>
      <c r="X153" s="8">
        <v>10</v>
      </c>
      <c r="Y153" s="8">
        <v>100</v>
      </c>
      <c r="Z153" s="9">
        <v>4.4000000000000004</v>
      </c>
      <c r="AA153" s="8"/>
      <c r="AD153" s="8"/>
      <c r="AE153" s="8"/>
      <c r="AF153" s="95">
        <f t="shared" si="146"/>
        <v>30.629937778765793</v>
      </c>
      <c r="AG153" s="95">
        <f t="shared" si="163"/>
        <v>14.300000000000002</v>
      </c>
      <c r="AH153" s="95">
        <f t="shared" si="147"/>
        <v>6.7394906668148691</v>
      </c>
      <c r="AI153" s="95">
        <f t="shared" si="164"/>
        <v>51.669428445580664</v>
      </c>
      <c r="AJ153" s="7"/>
      <c r="AK153" s="7"/>
      <c r="AL153" s="7"/>
      <c r="AM153" s="7">
        <f>AN8</f>
        <v>124.35989319840716</v>
      </c>
      <c r="AN153" s="95">
        <f t="shared" si="165"/>
        <v>176.02932164398783</v>
      </c>
      <c r="AO153" s="95"/>
      <c r="AP153" s="8"/>
    </row>
    <row r="154" spans="1:42" ht="15.75" customHeight="1" thickBot="1" x14ac:dyDescent="0.3">
      <c r="A154" s="259" t="str">
        <f t="shared" si="162"/>
        <v>Miscellaneous Manure_Spreader_solid 400-500 cubic ft level, chain unload (requires 150 hp)</v>
      </c>
      <c r="B154" s="260" t="s">
        <v>20</v>
      </c>
      <c r="C154" s="261" t="s">
        <v>354</v>
      </c>
      <c r="D154" s="261" t="s">
        <v>274</v>
      </c>
      <c r="E154" s="264" t="s">
        <v>152</v>
      </c>
      <c r="F154" s="256">
        <v>37300</v>
      </c>
      <c r="G154" s="59">
        <f t="shared" si="166"/>
        <v>37000</v>
      </c>
      <c r="H154" s="57"/>
      <c r="I154" s="74" t="s">
        <v>459</v>
      </c>
      <c r="J154" s="74" t="s">
        <v>686</v>
      </c>
      <c r="K154" s="75"/>
      <c r="L154" s="75"/>
      <c r="M154" s="75"/>
      <c r="N154" s="74" t="s">
        <v>680</v>
      </c>
      <c r="O154" s="74" t="s">
        <v>687</v>
      </c>
      <c r="P154" s="75"/>
      <c r="Q154" s="75"/>
      <c r="R154" s="75"/>
      <c r="S154" s="74" t="s">
        <v>376</v>
      </c>
      <c r="T154" s="74" t="s">
        <v>688</v>
      </c>
      <c r="U154" s="75"/>
      <c r="V154" s="75"/>
      <c r="W154" s="73"/>
      <c r="X154" s="8">
        <v>10</v>
      </c>
      <c r="Y154" s="8">
        <v>100</v>
      </c>
      <c r="Z154" s="9">
        <v>4.4000000000000004</v>
      </c>
      <c r="AA154" s="8"/>
      <c r="AD154" s="8"/>
      <c r="AE154" s="8"/>
      <c r="AF154" s="95">
        <f t="shared" si="146"/>
        <v>35.153743973783506</v>
      </c>
      <c r="AG154" s="95">
        <f t="shared" si="163"/>
        <v>16.412000000000003</v>
      </c>
      <c r="AH154" s="95">
        <f t="shared" si="147"/>
        <v>7.7348615960675264</v>
      </c>
      <c r="AI154" s="95">
        <f t="shared" si="164"/>
        <v>59.300605569851037</v>
      </c>
      <c r="AJ154" s="7"/>
      <c r="AK154" s="7"/>
      <c r="AL154" s="7"/>
      <c r="AM154" s="7">
        <f>AN8</f>
        <v>124.35989319840716</v>
      </c>
      <c r="AN154" s="95">
        <f t="shared" si="165"/>
        <v>183.66049876825821</v>
      </c>
      <c r="AO154" s="95"/>
      <c r="AP154" s="8"/>
    </row>
    <row r="155" spans="1:42" ht="15.75" customHeight="1" thickBot="1" x14ac:dyDescent="0.3">
      <c r="A155" s="259" t="str">
        <f t="shared" si="162"/>
        <v>Miscellaneous Manure_Spreader_solid 300-399 cubic ft level, side discharge (requires 150 hp)</v>
      </c>
      <c r="B155" s="260" t="s">
        <v>20</v>
      </c>
      <c r="C155" s="261" t="s">
        <v>354</v>
      </c>
      <c r="D155" s="261" t="s">
        <v>275</v>
      </c>
      <c r="E155" s="264" t="s">
        <v>151</v>
      </c>
      <c r="F155" s="256">
        <v>50500</v>
      </c>
      <c r="G155" s="59">
        <f t="shared" si="166"/>
        <v>51000</v>
      </c>
      <c r="H155" s="57"/>
      <c r="I155" s="74" t="s">
        <v>459</v>
      </c>
      <c r="J155" s="74" t="s">
        <v>689</v>
      </c>
      <c r="K155" s="75"/>
      <c r="L155" s="75"/>
      <c r="M155" s="75"/>
      <c r="N155" s="74" t="s">
        <v>680</v>
      </c>
      <c r="O155" s="74" t="s">
        <v>690</v>
      </c>
      <c r="P155" s="75"/>
      <c r="Q155" s="75"/>
      <c r="R155" s="75"/>
      <c r="S155" s="74" t="s">
        <v>376</v>
      </c>
      <c r="T155" s="74" t="s">
        <v>691</v>
      </c>
      <c r="U155" s="75"/>
      <c r="V155" s="75"/>
      <c r="W155" s="73"/>
      <c r="X155" s="8">
        <v>10</v>
      </c>
      <c r="Y155" s="8">
        <v>100</v>
      </c>
      <c r="Z155" s="9">
        <v>4.4000000000000004</v>
      </c>
      <c r="AA155" s="8"/>
      <c r="AD155" s="8"/>
      <c r="AE155" s="8"/>
      <c r="AF155" s="95">
        <f t="shared" si="146"/>
        <v>47.594211010082219</v>
      </c>
      <c r="AG155" s="95">
        <f t="shared" si="163"/>
        <v>22.22</v>
      </c>
      <c r="AH155" s="95">
        <f t="shared" si="147"/>
        <v>10.472131651512333</v>
      </c>
      <c r="AI155" s="95">
        <f t="shared" si="164"/>
        <v>80.286342661594546</v>
      </c>
      <c r="AJ155" s="7"/>
      <c r="AK155" s="7"/>
      <c r="AL155" s="7"/>
      <c r="AM155" s="7">
        <f>AN8</f>
        <v>124.35989319840716</v>
      </c>
      <c r="AN155" s="95">
        <f t="shared" si="165"/>
        <v>204.6462358600017</v>
      </c>
      <c r="AO155" s="95"/>
      <c r="AP155" s="8"/>
    </row>
    <row r="156" spans="1:42" ht="15.75" customHeight="1" thickBot="1" x14ac:dyDescent="0.3">
      <c r="A156" s="259" t="str">
        <f t="shared" si="162"/>
        <v>Miscellaneous Manure_Spreader_solid 400-500 cubic ft level, side discharge (requires 180 hp)</v>
      </c>
      <c r="B156" s="260" t="s">
        <v>20</v>
      </c>
      <c r="C156" s="261" t="s">
        <v>354</v>
      </c>
      <c r="D156" s="261" t="s">
        <v>276</v>
      </c>
      <c r="E156" s="264" t="s">
        <v>152</v>
      </c>
      <c r="F156" s="256">
        <v>70100</v>
      </c>
      <c r="G156" s="48">
        <f>ROUND(F156/5000,0)*5000</f>
        <v>70000</v>
      </c>
      <c r="H156" s="57"/>
      <c r="I156" s="74" t="s">
        <v>459</v>
      </c>
      <c r="J156" s="74" t="s">
        <v>692</v>
      </c>
      <c r="K156" s="75"/>
      <c r="L156" s="75"/>
      <c r="M156" s="75"/>
      <c r="N156" s="74" t="s">
        <v>680</v>
      </c>
      <c r="O156" s="74" t="s">
        <v>693</v>
      </c>
      <c r="P156" s="75"/>
      <c r="Q156" s="75"/>
      <c r="R156" s="75"/>
      <c r="S156" s="74" t="s">
        <v>376</v>
      </c>
      <c r="T156" s="74" t="s">
        <v>694</v>
      </c>
      <c r="U156" s="75"/>
      <c r="V156" s="75"/>
      <c r="W156" s="73"/>
      <c r="X156" s="8">
        <v>10</v>
      </c>
      <c r="Y156" s="8">
        <v>100</v>
      </c>
      <c r="Z156" s="9">
        <v>4.4000000000000004</v>
      </c>
      <c r="AA156" s="8"/>
      <c r="AD156" s="8"/>
      <c r="AE156" s="8"/>
      <c r="AF156" s="95">
        <f t="shared" si="146"/>
        <v>66.066419639737916</v>
      </c>
      <c r="AG156" s="95">
        <f t="shared" si="163"/>
        <v>30.844000000000001</v>
      </c>
      <c r="AH156" s="95">
        <f t="shared" si="147"/>
        <v>14.536562945960686</v>
      </c>
      <c r="AI156" s="95">
        <f t="shared" si="164"/>
        <v>111.44698258569859</v>
      </c>
      <c r="AJ156" s="7"/>
      <c r="AK156" s="7"/>
      <c r="AL156" s="7"/>
      <c r="AM156" s="7">
        <f>AN9</f>
        <v>155.14636807957388</v>
      </c>
      <c r="AN156" s="95">
        <f t="shared" si="165"/>
        <v>266.59335066527245</v>
      </c>
      <c r="AO156" s="95"/>
      <c r="AP156" s="8"/>
    </row>
    <row r="157" spans="1:42" ht="15.75" customHeight="1" thickBot="1" x14ac:dyDescent="0.3">
      <c r="A157" s="259" t="str">
        <f t="shared" si="162"/>
        <v>Miscellaneous Manure_Spreader_solid 500+  cubic ft level, side discharge (requires 200 hp)</v>
      </c>
      <c r="B157" s="260" t="s">
        <v>20</v>
      </c>
      <c r="C157" s="261" t="s">
        <v>354</v>
      </c>
      <c r="D157" s="261" t="s">
        <v>277</v>
      </c>
      <c r="E157" s="264" t="s">
        <v>153</v>
      </c>
      <c r="F157" s="256">
        <v>89800</v>
      </c>
      <c r="G157" s="48">
        <f>ROUND(F157/5000,0)*5000</f>
        <v>90000</v>
      </c>
      <c r="H157" s="57"/>
      <c r="I157" s="56" t="s">
        <v>459</v>
      </c>
      <c r="J157" s="56" t="s">
        <v>695</v>
      </c>
      <c r="K157" s="57"/>
      <c r="L157" s="57"/>
      <c r="M157" s="57"/>
      <c r="N157" s="56" t="s">
        <v>680</v>
      </c>
      <c r="O157" s="56" t="s">
        <v>696</v>
      </c>
      <c r="P157" s="57"/>
      <c r="Q157" s="57"/>
      <c r="R157" s="57"/>
      <c r="S157" s="56"/>
      <c r="T157" s="56"/>
      <c r="U157" s="57"/>
      <c r="V157" s="57"/>
      <c r="W157" s="55"/>
      <c r="X157" s="8">
        <v>10</v>
      </c>
      <c r="Y157" s="8">
        <v>100</v>
      </c>
      <c r="Z157" s="9">
        <v>4.4000000000000004</v>
      </c>
      <c r="AA157" s="8"/>
      <c r="AD157" s="8"/>
      <c r="AE157" s="8"/>
      <c r="AF157" s="95">
        <f t="shared" si="146"/>
        <v>84.632874231789771</v>
      </c>
      <c r="AG157" s="95">
        <f t="shared" si="163"/>
        <v>39.512</v>
      </c>
      <c r="AH157" s="95">
        <f t="shared" si="147"/>
        <v>18.621731134768464</v>
      </c>
      <c r="AI157" s="95">
        <f t="shared" si="164"/>
        <v>142.76660536655822</v>
      </c>
      <c r="AJ157" s="7"/>
      <c r="AK157" s="7"/>
      <c r="AL157" s="7"/>
      <c r="AM157" s="7">
        <f>AN9</f>
        <v>155.14636807957388</v>
      </c>
      <c r="AN157" s="95">
        <f t="shared" si="165"/>
        <v>297.91297344613213</v>
      </c>
      <c r="AO157" s="95"/>
      <c r="AP157" s="8"/>
    </row>
    <row r="158" spans="1:42" ht="15.75" customHeight="1" thickBot="1" x14ac:dyDescent="0.3">
      <c r="A158" s="259" t="str">
        <f t="shared" si="162"/>
        <v>Miscellaneous Manure_Spreader_solid 250-300 cubic ft, hyd. push, vert. beaters (requires 120 hp)</v>
      </c>
      <c r="B158" s="260" t="s">
        <v>20</v>
      </c>
      <c r="C158" s="261" t="s">
        <v>354</v>
      </c>
      <c r="D158" s="261" t="s">
        <v>278</v>
      </c>
      <c r="E158" s="264" t="s">
        <v>154</v>
      </c>
      <c r="F158" s="256">
        <v>56500</v>
      </c>
      <c r="G158" s="59">
        <f>ROUND(F158,-3)</f>
        <v>57000</v>
      </c>
      <c r="H158" s="57"/>
      <c r="I158" s="56" t="s">
        <v>459</v>
      </c>
      <c r="J158" s="56" t="s">
        <v>697</v>
      </c>
      <c r="K158" s="57"/>
      <c r="L158" s="57"/>
      <c r="M158" s="57"/>
      <c r="N158" s="56" t="s">
        <v>680</v>
      </c>
      <c r="O158" s="56" t="s">
        <v>698</v>
      </c>
      <c r="P158" s="57"/>
      <c r="Q158" s="57"/>
      <c r="R158" s="57"/>
      <c r="S158" s="56" t="s">
        <v>376</v>
      </c>
      <c r="T158" s="56" t="s">
        <v>699</v>
      </c>
      <c r="U158" s="57"/>
      <c r="V158" s="57"/>
      <c r="W158" s="55"/>
      <c r="X158" s="8">
        <v>10</v>
      </c>
      <c r="Y158" s="8">
        <v>100</v>
      </c>
      <c r="Z158" s="9">
        <v>4.4000000000000004</v>
      </c>
      <c r="AA158" s="8"/>
      <c r="AD158" s="8"/>
      <c r="AE158" s="8"/>
      <c r="AF158" s="95">
        <f t="shared" si="146"/>
        <v>53.248968753854371</v>
      </c>
      <c r="AG158" s="95">
        <f t="shared" si="163"/>
        <v>24.860000000000003</v>
      </c>
      <c r="AH158" s="95">
        <f t="shared" si="147"/>
        <v>11.716345313078156</v>
      </c>
      <c r="AI158" s="95">
        <f t="shared" si="164"/>
        <v>89.825314066932521</v>
      </c>
      <c r="AJ158" s="7"/>
      <c r="AK158" s="7"/>
      <c r="AL158" s="7"/>
      <c r="AM158" s="7">
        <f>AN8</f>
        <v>124.35989319840716</v>
      </c>
      <c r="AN158" s="95">
        <f t="shared" si="165"/>
        <v>214.18520726533967</v>
      </c>
      <c r="AO158" s="95"/>
      <c r="AP158" s="8"/>
    </row>
    <row r="159" spans="1:42" ht="15.75" customHeight="1" thickBot="1" x14ac:dyDescent="0.3">
      <c r="A159" s="259" t="str">
        <f t="shared" si="162"/>
        <v>Miscellaneous Manure_Spreader_solid 400-500 cubic ft, hyd. push, vert. beaters (requires 150 hp)</v>
      </c>
      <c r="B159" s="260" t="s">
        <v>20</v>
      </c>
      <c r="C159" s="261" t="s">
        <v>354</v>
      </c>
      <c r="D159" s="261" t="s">
        <v>279</v>
      </c>
      <c r="E159" s="263" t="s">
        <v>152</v>
      </c>
      <c r="F159" s="256">
        <v>75100</v>
      </c>
      <c r="G159" s="48">
        <f>ROUND(F159/5000,0)*5000</f>
        <v>75000</v>
      </c>
      <c r="H159" s="54"/>
      <c r="I159" s="53" t="s">
        <v>459</v>
      </c>
      <c r="J159" s="53" t="s">
        <v>700</v>
      </c>
      <c r="K159" s="54"/>
      <c r="L159" s="54"/>
      <c r="M159" s="54"/>
      <c r="N159" s="53" t="s">
        <v>680</v>
      </c>
      <c r="O159" s="53" t="s">
        <v>701</v>
      </c>
      <c r="P159" s="54"/>
      <c r="Q159" s="54"/>
      <c r="R159" s="54"/>
      <c r="S159" s="53" t="s">
        <v>376</v>
      </c>
      <c r="T159" s="53" t="s">
        <v>702</v>
      </c>
      <c r="U159" s="54"/>
      <c r="V159" s="54"/>
      <c r="W159" s="52"/>
      <c r="X159" s="8">
        <v>10</v>
      </c>
      <c r="Y159" s="8">
        <v>100</v>
      </c>
      <c r="Z159" s="9">
        <v>4.4000000000000004</v>
      </c>
      <c r="AA159" s="8"/>
      <c r="AD159" s="8"/>
      <c r="AE159" s="8"/>
      <c r="AF159" s="95">
        <f t="shared" si="146"/>
        <v>70.77871775954803</v>
      </c>
      <c r="AG159" s="95">
        <f t="shared" si="163"/>
        <v>33.044000000000004</v>
      </c>
      <c r="AH159" s="95">
        <f t="shared" si="147"/>
        <v>15.573407663932203</v>
      </c>
      <c r="AI159" s="95">
        <f t="shared" si="164"/>
        <v>119.39612542348023</v>
      </c>
      <c r="AJ159" s="7"/>
      <c r="AK159" s="7"/>
      <c r="AL159" s="7"/>
      <c r="AM159" s="7">
        <f>AN8</f>
        <v>124.35989319840716</v>
      </c>
      <c r="AN159" s="95">
        <f t="shared" si="165"/>
        <v>243.75601862188739</v>
      </c>
      <c r="AO159" s="95"/>
      <c r="AP159" s="8"/>
    </row>
    <row r="160" spans="1:42" x14ac:dyDescent="0.25">
      <c r="N160" s="10"/>
      <c r="O160" s="10"/>
      <c r="P160" s="10"/>
      <c r="R160" s="10"/>
    </row>
    <row r="161" spans="6:8" x14ac:dyDescent="0.25">
      <c r="G161" s="46"/>
      <c r="H161" s="46"/>
    </row>
    <row r="162" spans="6:8" x14ac:dyDescent="0.25">
      <c r="F162" s="257"/>
      <c r="G162" s="12"/>
    </row>
    <row r="163" spans="6:8" x14ac:dyDescent="0.25">
      <c r="F163" s="258"/>
      <c r="G163" s="13"/>
    </row>
  </sheetData>
  <mergeCells count="32">
    <mergeCell ref="X2:Y2"/>
    <mergeCell ref="AD3:AD5"/>
    <mergeCell ref="AO3:AO5"/>
    <mergeCell ref="AM3:AM5"/>
    <mergeCell ref="AQ3:AQ5"/>
    <mergeCell ref="AP3:AP5"/>
    <mergeCell ref="AE3:AE5"/>
    <mergeCell ref="AJ3:AJ5"/>
    <mergeCell ref="AK3:AK5"/>
    <mergeCell ref="AL3:AL5"/>
    <mergeCell ref="AN3:AN5"/>
    <mergeCell ref="X3:X5"/>
    <mergeCell ref="Y3:Y5"/>
    <mergeCell ref="Z3:Z5"/>
    <mergeCell ref="AA3:AA5"/>
    <mergeCell ref="AF3:AF5"/>
    <mergeCell ref="AB3:AB5"/>
    <mergeCell ref="AC3:AC5"/>
    <mergeCell ref="AR3:AR5"/>
    <mergeCell ref="B4:B5"/>
    <mergeCell ref="C4:C5"/>
    <mergeCell ref="D4:D5"/>
    <mergeCell ref="G4:G5"/>
    <mergeCell ref="H4:H5"/>
    <mergeCell ref="E4:E5"/>
    <mergeCell ref="F4:F5"/>
    <mergeCell ref="AG3:AG5"/>
    <mergeCell ref="AH3:AH5"/>
    <mergeCell ref="AI3:AI5"/>
    <mergeCell ref="I4:M4"/>
    <mergeCell ref="N4:R4"/>
    <mergeCell ref="S4:W4"/>
  </mergeCells>
  <dataValidations count="2">
    <dataValidation type="list" allowBlank="1" showInputMessage="1" showErrorMessage="1" sqref="E45:E50 C6:D159" xr:uid="{00000000-0002-0000-0300-000001000000}">
      <formula1>INDIRECT(SUBSTITUTE(B6," ",""))</formula1>
    </dataValidation>
    <dataValidation type="list" allowBlank="1" showInputMessage="1" showErrorMessage="1" sqref="B6:B159" xr:uid="{00000000-0002-0000-0300-000000000000}">
      <formula1>Category</formula1>
    </dataValidation>
  </dataValidations>
  <pageMargins left="0.70866141732283472" right="0.70866141732283472" top="0.74803149606299213" bottom="0.74803149606299213" header="0.31496062992125984" footer="0.31496062992125984"/>
  <pageSetup scale="48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64</vt:i4>
      </vt:variant>
    </vt:vector>
  </HeadingPairs>
  <TitlesOfParts>
    <vt:vector size="68" baseType="lpstr">
      <vt:lpstr>Instructions</vt:lpstr>
      <vt:lpstr>Calculator</vt:lpstr>
      <vt:lpstr>NAMES</vt:lpstr>
      <vt:lpstr>DATA</vt:lpstr>
      <vt:lpstr>Air_Disc_Drill</vt:lpstr>
      <vt:lpstr>Air_Drills_with_Independent_Opener</vt:lpstr>
      <vt:lpstr>Air_Hoe_Drill</vt:lpstr>
      <vt:lpstr>Air_Seeder</vt:lpstr>
      <vt:lpstr>Bale_Processor</vt:lpstr>
      <vt:lpstr>Baler_Large_Round</vt:lpstr>
      <vt:lpstr>Baler_Large_Square</vt:lpstr>
      <vt:lpstr>Baler_Small_Square</vt:lpstr>
      <vt:lpstr>Category</vt:lpstr>
      <vt:lpstr>Combine_Header</vt:lpstr>
      <vt:lpstr>Cultivator_Field_with_tine_harrows</vt:lpstr>
      <vt:lpstr>Cultivator_Heavy_Duty_with_tine_harrows</vt:lpstr>
      <vt:lpstr>Feed_Mixer</vt:lpstr>
      <vt:lpstr>Field_efficiency</vt:lpstr>
      <vt:lpstr>Four_Wheel_Drive</vt:lpstr>
      <vt:lpstr>Fraction_dep_over_optimal_life</vt:lpstr>
      <vt:lpstr>Front_Wheel_Assist</vt:lpstr>
      <vt:lpstr>Fuel_Price</vt:lpstr>
      <vt:lpstr>Grain_Cart</vt:lpstr>
      <vt:lpstr>Grain_Dryer</vt:lpstr>
      <vt:lpstr>Grain_Vac</vt:lpstr>
      <vt:lpstr>Grinder_Mixer</vt:lpstr>
      <vt:lpstr>Harrow_Heavy</vt:lpstr>
      <vt:lpstr>Harrow_Mid</vt:lpstr>
      <vt:lpstr>Harrow_Packer</vt:lpstr>
      <vt:lpstr>Harvesting_Grain</vt:lpstr>
      <vt:lpstr>Harvesting_Hay</vt:lpstr>
      <vt:lpstr>Hay_Rakes</vt:lpstr>
      <vt:lpstr>High_Clearance_Sprayer</vt:lpstr>
      <vt:lpstr>Insurance_and_Housing</vt:lpstr>
      <vt:lpstr>Interest_Rate</vt:lpstr>
      <vt:lpstr>Labour</vt:lpstr>
      <vt:lpstr>Land_Roller</vt:lpstr>
      <vt:lpstr>Land_Scraper</vt:lpstr>
      <vt:lpstr>Machinery_Financed_percentage</vt:lpstr>
      <vt:lpstr>Manure_Spreader_solid</vt:lpstr>
      <vt:lpstr>Margin_percentage</vt:lpstr>
      <vt:lpstr>Miscellaneous</vt:lpstr>
      <vt:lpstr>Opp_inv_period_years</vt:lpstr>
      <vt:lpstr>Opportunity_Rate</vt:lpstr>
      <vt:lpstr>Payback_loan_period_years</vt:lpstr>
      <vt:lpstr>Post_Pounder</vt:lpstr>
      <vt:lpstr>Powered_Auger</vt:lpstr>
      <vt:lpstr>Calculator!Print_Area</vt:lpstr>
      <vt:lpstr>Instructions!Print_Area</vt:lpstr>
      <vt:lpstr>PTO_Grain_Auger</vt:lpstr>
      <vt:lpstr>Pull_Type_Bale_Mover_Self_load_unload</vt:lpstr>
      <vt:lpstr>Pull_Type_Mower_Conditioner</vt:lpstr>
      <vt:lpstr>Rotary_Combine</vt:lpstr>
      <vt:lpstr>Row_Crop_Planter</vt:lpstr>
      <vt:lpstr>Seeding</vt:lpstr>
      <vt:lpstr>Self_propelled_Bale_Mover</vt:lpstr>
      <vt:lpstr>Self_propelled_Forage_Harvester</vt:lpstr>
      <vt:lpstr>Self_propelled_Mower_Conditioner</vt:lpstr>
      <vt:lpstr>Self_propelled_Swather</vt:lpstr>
      <vt:lpstr>Soil_Preparation</vt:lpstr>
      <vt:lpstr>SP_Forage_Harvester_Header</vt:lpstr>
      <vt:lpstr>Sprayers</vt:lpstr>
      <vt:lpstr>Tracked</vt:lpstr>
      <vt:lpstr>Tractors</vt:lpstr>
      <vt:lpstr>Two_Wheel_Drive</vt:lpstr>
      <vt:lpstr>Vertical_Feed_Mixer</vt:lpstr>
      <vt:lpstr>Vertical_Tillage_Tools_Compact</vt:lpstr>
      <vt:lpstr>Vertical_Tillage_Tools_Heavy_Duty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Sampson</dc:creator>
  <cp:lastModifiedBy>Hordos, Ryan AG</cp:lastModifiedBy>
  <cp:lastPrinted>2020-01-14T16:43:56Z</cp:lastPrinted>
  <dcterms:created xsi:type="dcterms:W3CDTF">2012-04-03T19:12:20Z</dcterms:created>
  <dcterms:modified xsi:type="dcterms:W3CDTF">2022-03-23T20:26:34Z</dcterms:modified>
</cp:coreProperties>
</file>